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oMDPo0jd96bC9z33Ynpb63TdSSsDdADf6YK1aZU3l2me9QIFXczwmSdoOawEEMvII2JjzwGszAbzpV9m5DFG/Q==" workbookSaltValue="yNbc05l3jaU0f/dnxuU+O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K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BF10" i="11"/>
  <c r="S13" i="16"/>
  <c r="H18" i="16"/>
  <c r="BN18" i="16"/>
  <c r="P13" i="16"/>
  <c r="AM13" i="20"/>
  <c r="AN13" i="20"/>
  <c r="AT17" i="20"/>
  <c r="Z13" i="17"/>
  <c r="N13" i="2"/>
  <c r="T13" i="12"/>
  <c r="BK15" i="11"/>
  <c r="AP10" i="21"/>
  <c r="BH9" i="11"/>
  <c r="BJ11" i="11"/>
  <c r="BI17" i="11"/>
  <c r="BL11" i="11"/>
  <c r="BM15" i="11"/>
  <c r="BU15" i="17"/>
  <c r="BW17" i="20"/>
  <c r="BW16" i="20"/>
  <c r="BW15" i="20"/>
  <c r="BV10" i="16"/>
  <c r="BU16" i="17"/>
  <c r="AA17" i="16"/>
  <c r="X15" i="17"/>
  <c r="S15" i="16"/>
  <c r="BF12" i="11"/>
  <c r="BL10" i="11"/>
  <c r="BJ10" i="11"/>
  <c r="BH11" i="11"/>
  <c r="S17" i="17"/>
  <c r="BH12" i="16"/>
  <c r="T13" i="20"/>
  <c r="BD9" i="8"/>
  <c r="S15" i="17"/>
  <c r="X10" i="21"/>
  <c r="L9" i="2"/>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F17" i="16" l="1"/>
  <c r="BL17" i="16" s="1"/>
  <c r="AM19" i="8"/>
  <c r="AC19" i="8"/>
  <c r="AK19" i="8"/>
  <c r="AA19" i="8"/>
  <c r="AI19" i="8"/>
  <c r="BG10" i="8"/>
  <c r="K10" i="7" s="1"/>
  <c r="R19" i="8"/>
  <c r="BG9" i="8"/>
  <c r="BE9" i="8"/>
  <c r="T19" i="8"/>
  <c r="AA11" i="16"/>
  <c r="L12" i="2"/>
  <c r="BK10" i="11"/>
  <c r="BM9" i="11"/>
  <c r="BG16" i="11"/>
  <c r="BK16" i="11"/>
  <c r="R11" i="14"/>
  <c r="BL15" i="11"/>
  <c r="P15" i="17"/>
  <c r="T16" i="11"/>
  <c r="AA15" i="16"/>
  <c r="BV9" i="16"/>
  <c r="BU17" i="17"/>
  <c r="BU9" i="17"/>
  <c r="BV15" i="16"/>
  <c r="BV16" i="16"/>
  <c r="BW9" i="20"/>
  <c r="AP17" i="20"/>
  <c r="BH17" i="11"/>
  <c r="BG9" i="11"/>
  <c r="R10" i="21"/>
  <c r="R13" i="21" s="1"/>
  <c r="V9" i="11"/>
  <c r="BM12" i="11"/>
  <c r="X9" i="17"/>
  <c r="X12" i="21"/>
  <c r="BL9"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L15" i="2"/>
  <c r="L17" i="2"/>
  <c r="X15" i="16"/>
  <c r="X18" i="16" s="1"/>
  <c r="V10" i="16"/>
  <c r="AA9" i="16"/>
  <c r="V9" i="16"/>
  <c r="T9" i="11"/>
  <c r="BF11" i="11"/>
  <c r="BH11" i="16"/>
  <c r="BH17" i="16"/>
  <c r="BG10" i="11"/>
  <c r="BM16" i="11"/>
  <c r="P17" i="17"/>
  <c r="BL17" i="11"/>
  <c r="BK12" i="11"/>
  <c r="AA16" i="16"/>
  <c r="S10" i="14"/>
  <c r="V10" i="14" s="1"/>
  <c r="S17" i="14"/>
  <c r="V17" i="14" s="1"/>
  <c r="C12" i="14"/>
  <c r="K12" i="14" s="1"/>
  <c r="R10" i="14"/>
  <c r="R12" i="14"/>
  <c r="AY13" i="13"/>
  <c r="H9" i="7"/>
  <c r="F17" i="17"/>
  <c r="AQ17" i="17" s="1"/>
  <c r="R16" i="14"/>
  <c r="E12" i="6"/>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12" s="1"/>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K12" i="7"/>
  <c r="AM15" i="11"/>
  <c r="AO12" i="17"/>
  <c r="B12" i="6"/>
  <c r="D12" i="6"/>
  <c r="J12" i="12" s="1"/>
  <c r="AL12" i="11"/>
  <c r="I13" i="2"/>
  <c r="D16" i="2"/>
  <c r="L12" i="14"/>
  <c r="AN12" i="11"/>
  <c r="AM12" i="11"/>
  <c r="C12" i="6"/>
  <c r="I12" i="12" s="1"/>
  <c r="B10" i="6"/>
  <c r="D10" i="2"/>
  <c r="E10" i="6"/>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0" i="12" l="1"/>
  <c r="K10" i="12"/>
  <c r="K9" i="12"/>
  <c r="I15" i="7"/>
  <c r="K15" i="12"/>
  <c r="AZ19" i="11"/>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K16" i="7" l="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BD19" i="8" l="1"/>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<sst xmlns="http://schemas.openxmlformats.org/spreadsheetml/2006/main" count="2094" uniqueCount="913">
  <si>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</si>
  <si>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</si>
  <si>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</si>
  <si>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</si>
  <si>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</si>
  <si>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</si>
  <si>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</si>
  <si>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</si>
  <si>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</si>
  <si>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</si>
  <si>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</si>
  <si>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</si>
  <si>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</si>
  <si>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</si>
  <si>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</si>
  <si>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</si>
  <si>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</si>
  <si>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</si>
  <si>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</si>
  <si>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</si>
  <si>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</si>
  <si>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</si>
  <si>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</si>
  <si>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</si>
  <si>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</si>
  <si>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</si>
  <si>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</si>
  <si>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</si>
  <si>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</si>
  <si>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</si>
  <si>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</si>
  <si>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</si>
  <si>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</si>
  <si>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</si>
  <si>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</si>
  <si>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</si>
  <si>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</si>
  <si>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</si>
  <si>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</si>
  <si>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</si>
  <si>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</si>
  <si>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</si>
  <si>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</si>
  <si>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</si>
  <si>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</si>
  <si>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</si>
  <si>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</si>
  <si>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</si>
  <si>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</si>
  <si>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</si>
  <si>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</si>
  <si>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</si>
  <si>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</si>
  <si>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</si>
  <si>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</si>
  <si>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</si>
  <si>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</si>
  <si>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</si>
  <si>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</si>
  <si>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</si>
  <si>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</si>
  <si>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</si>
  <si>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</si>
  <si>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</si>
  <si>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</si>
  <si>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</si>
  <si>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</si>
  <si>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</si>
  <si>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</si>
  <si>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</si>
  <si>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</si>
  <si>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</si>
  <si>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</si>
  <si>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</si>
  <si>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</si>
  <si>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</si>
  <si>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</si>
  <si>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</si>
  <si>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</si>
  <si>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</si>
  <si>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</si>
  <si>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</si>
  <si>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</si>
  <si>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</si>
  <si>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</si>
  <si>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</si>
  <si>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</si>
  <si>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</si>
  <si>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</si>
  <si>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</si>
  <si>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</si>
  <si>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</si>
  <si>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</si>
  <si>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</si>
  <si>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</si>
  <si>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</si>
  <si>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</si>
  <si>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</si>
  <si>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</si>
  <si>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</si>
  <si>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</si>
  <si>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</si>
  <si>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</si>
  <si>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</si>
  <si>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</si>
  <si>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</si>
  <si>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</si>
  <si>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</si>
  <si>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</si>
  <si>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</si>
  <si>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</si>
  <si>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</si>
  <si>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</si>
  <si>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</si>
  <si>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</si>
  <si>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</si>
  <si>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</si>
  <si>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</si>
  <si>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</si>
  <si>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</si>
  <si>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</si>
  <si>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</si>
  <si>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</si>
  <si>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</si>
  <si>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</si>
  <si>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</si>
  <si>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</si>
  <si>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</si>
  <si>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</si>
  <si>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</si>
  <si>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</si>
  <si>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</si>
  <si>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</si>
  <si>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</si>
  <si>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</si>
  <si>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</si>
  <si>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</si>
  <si>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</si>
  <si>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</si>
  <si>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</si>
  <si>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</si>
  <si>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</si>
  <si>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</si>
  <si>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</si>
  <si>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</si>
  <si>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</si>
  <si>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</si>
  <si>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</si>
  <si>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</si>
  <si>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</si>
  <si>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</si>
  <si>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</si>
  <si>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</si>
  <si>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</si>
  <si>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</si>
  <si>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</si>
  <si>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</si>
  <si>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</si>
  <si>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</si>
  <si>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</si>
  <si>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</si>
  <si>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</si>
  <si>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</si>
  <si>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</si>
  <si>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</si>
  <si>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</si>
  <si>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</si>
  <si>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</si>
  <si>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</si>
  <si>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</si>
  <si>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</si>
  <si>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</si>
  <si>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</si>
  <si>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</si>
  <si>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</si>
  <si>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</si>
  <si>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</si>
  <si>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</si>
  <si>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</si>
  <si>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</si>
  <si>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</si>
  <si>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</si>
  <si>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</si>
  <si>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</si>
  <si>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</si>
  <si>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</si>
  <si>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</si>
  <si>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</si>
  <si>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</si>
  <si>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</si>
  <si>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</si>
  <si>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</si>
  <si>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</si>
  <si>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</si>
  <si>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</si>
  <si>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</si>
  <si>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</si>
  <si>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</si>
  <si>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</si>
  <si>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</si>
  <si>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</si>
  <si>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</si>
  <si>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</si>
  <si>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</si>
  <si>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</si>
  <si>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</si>
  <si>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</si>
  <si>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</si>
  <si>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</si>
  <si>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</si>
  <si>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</si>
  <si>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</si>
  <si>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</si>
  <si>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</si>
  <si>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</si>
  <si>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</si>
  <si>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</si>
  <si>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</si>
  <si>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</si>
  <si>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</si>
  <si>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</si>
  <si>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</si>
  <si>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</si>
  <si>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</si>
  <si>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</si>
  <si>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</si>
  <si>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</si>
  <si>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</si>
  <si>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</si>
  <si>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</si>
  <si>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</si>
  <si>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</si>
  <si>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</si>
  <si>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</si>
  <si>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</si>
  <si>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</si>
  <si>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</si>
  <si>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</si>
  <si>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</si>
  <si>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</si>
  <si>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</si>
  <si>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</si>
  <si>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</si>
  <si>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</si>
  <si>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</si>
  <si>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</si>
  <si>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</si>
  <si>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</si>
  <si>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</si>
  <si>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</si>
  <si>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</si>
  <si>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</si>
  <si>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</si>
  <si>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</si>
  <si>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</si>
  <si>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</si>
  <si>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</si>
  <si>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</si>
  <si>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</si>
  <si>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</si>
  <si>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</si>
  <si>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</si>
  <si>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</si>
  <si>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</si>
  <si>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</si>
  <si>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</si>
  <si>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</si>
  <si>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</si>
  <si>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</si>
  <si>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</si>
  <si>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</si>
  <si>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</si>
  <si>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</si>
  <si>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</si>
  <si>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</si>
  <si>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</si>
  <si>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</si>
  <si>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</si>
  <si>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</si>
  <si>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</si>
  <si>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</si>
  <si>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</si>
  <si>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</si>
  <si>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</si>
  <si>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</si>
  <si>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</si>
  <si>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</si>
  <si>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</si>
  <si>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</si>
  <si>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</si>
  <si>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</si>
  <si>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</si>
  <si>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</si>
  <si>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</si>
  <si>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</si>
  <si>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</si>
  <si>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</si>
  <si>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</si>
  <si>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</si>
  <si>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</si>
  <si>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</si>
  <si>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</si>
  <si>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</si>
  <si>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</si>
  <si>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</si>
  <si>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</si>
  <si>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</si>
  <si>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</si>
  <si>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</si>
  <si>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</si>
  <si>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</si>
  <si>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</si>
  <si>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</si>
  <si>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</si>
  <si>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</si>
  <si>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</si>
  <si>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</si>
  <si>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</si>
  <si>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</si>
  <si>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</si>
  <si>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</si>
  <si>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</si>
  <si>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</si>
  <si>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</si>
  <si>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</si>
  <si>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</si>
  <si>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</si>
  <si>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</si>
  <si>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</si>
  <si>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</si>
  <si>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</si>
  <si>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</si>
  <si>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</si>
  <si>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</si>
  <si>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</si>
  <si>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</si>
  <si>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</si>
  <si>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</si>
  <si>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</si>
  <si>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</si>
  <si>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</si>
  <si>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</si>
  <si>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</si>
  <si>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</si>
  <si>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</si>
  <si>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</si>
  <si>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</si>
  <si>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</si>
  <si>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</si>
  <si>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</si>
  <si>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</si>
  <si>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</si>
  <si>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</si>
  <si>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</si>
  <si>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</si>
  <si>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</si>
  <si>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</si>
  <si>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</si>
  <si>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</si>
  <si>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</si>
  <si>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</si>
  <si>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</si>
  <si>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</si>
  <si>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</si>
  <si>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</si>
  <si>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</si>
  <si>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</si>
  <si>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</si>
  <si>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</si>
  <si>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</si>
  <si>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</si>
  <si>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</si>
  <si>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</si>
  <si>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</si>
  <si>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</si>
  <si>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</si>
  <si>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</si>
  <si>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</si>
  <si>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</si>
  <si>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</si>
  <si>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</si>
  <si>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</si>
  <si>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</si>
  <si>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</si>
  <si>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</si>
  <si>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</si>
  <si>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</si>
  <si>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</si>
  <si>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</si>
  <si>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</si>
  <si>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</si>
  <si>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</si>
  <si>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</si>
  <si>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</si>
  <si>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</si>
  <si>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</si>
  <si>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</si>
  <si>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</si>
  <si>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</si>
  <si>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</si>
  <si>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</si>
  <si>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</si>
  <si>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</si>
  <si>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</si>
  <si>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</si>
  <si>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</si>
  <si>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</si>
  <si>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</si>
  <si>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</si>
  <si>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</si>
  <si>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</si>
  <si>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</si>
  <si>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</si>
  <si>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</si>
  <si>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</si>
  <si>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</si>
  <si>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</si>
  <si>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</si>
  <si>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</si>
  <si>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</si>
  <si>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</si>
  <si>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</si>
  <si>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</si>
  <si>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</si>
  <si>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</si>
  <si>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</si>
  <si>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</si>
  <si>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</si>
  <si>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</si>
  <si>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</si>
  <si>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</si>
  <si>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</si>
  <si>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</si>
  <si>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</si>
  <si>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</si>
  <si>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</si>
  <si>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</si>
  <si>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</si>
  <si>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</si>
  <si>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</si>
  <si>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</si>
  <si>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</si>
  <si>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</si>
  <si>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</si>
  <si>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</si>
  <si>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</si>
  <si>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</si>
  <si>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</si>
  <si>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</si>
  <si>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</si>
  <si>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</si>
  <si>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</si>
  <si>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</si>
  <si>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</si>
  <si>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</si>
  <si>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</si>
  <si>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</si>
  <si>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</si>
  <si>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</si>
  <si>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</si>
  <si>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</si>
  <si>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</si>
  <si>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</si>
  <si>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</si>
  <si>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</si>
  <si>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</si>
  <si>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</si>
  <si>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</si>
  <si>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</si>
  <si>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</si>
  <si>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</si>
  <si>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</si>
  <si>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</si>
  <si>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</si>
  <si>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</si>
  <si>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</si>
  <si>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</si>
  <si>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</si>
  <si>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</si>
  <si>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</si>
  <si>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</si>
  <si>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</si>
  <si>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</si>
  <si>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</si>
  <si>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</si>
  <si>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</si>
  <si>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</si>
  <si>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</si>
  <si>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</si>
  <si>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</si>
  <si>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</si>
  <si>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</si>
  <si>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</si>
  <si>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</si>
  <si>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</si>
  <si>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</si>
  <si>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</si>
  <si>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</si>
  <si>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</si>
  <si>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</si>
  <si>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</si>
  <si>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</si>
  <si>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</si>
  <si>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</si>
  <si>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</si>
  <si>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</si>
  <si>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</si>
  <si>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</si>
  <si>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</si>
  <si>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</si>
  <si>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</si>
  <si>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</si>
  <si>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</si>
  <si>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</si>
  <si>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</si>
  <si>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</si>
  <si>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</si>
  <si>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</si>
  <si>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</si>
  <si>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</si>
  <si>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</si>
  <si>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</si>
  <si>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</si>
  <si>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</si>
  <si>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</si>
  <si>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</si>
  <si>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</si>
  <si>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</si>
  <si>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</si>
  <si>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</si>
  <si>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</si>
  <si>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</si>
  <si>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</si>
  <si>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</si>
  <si>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</si>
  <si>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</si>
  <si>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</si>
  <si>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</si>
  <si>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</si>
  <si>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</si>
  <si>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</si>
  <si>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</si>
  <si>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</si>
  <si>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</si>
  <si>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</si>
  <si>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</si>
  <si>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</si>
  <si>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</si>
  <si>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</si>
  <si>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</si>
  <si>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</si>
  <si>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</si>
  <si>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</si>
  <si>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</si>
  <si>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</si>
  <si>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</si>
  <si>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</si>
  <si>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</si>
  <si>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</si>
  <si>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</si>
  <si>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</si>
  <si>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</si>
  <si>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</si>
  <si>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</si>
  <si>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</si>
  <si>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</si>
  <si>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</si>
  <si>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</si>
  <si>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</si>
  <si>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</si>
  <si>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</si>
  <si>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</si>
  <si>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</si>
  <si>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</si>
  <si>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</si>
  <si>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</si>
  <si>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</si>
  <si>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</si>
  <si>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</si>
  <si>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</si>
  <si>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</si>
  <si>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</si>
  <si>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</si>
  <si>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</si>
  <si>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</si>
  <si>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</si>
  <si>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</si>
  <si>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</si>
  <si>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</si>
  <si>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</si>
  <si>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</si>
  <si>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</si>
  <si>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</si>
  <si>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</si>
  <si>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</si>
  <si>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</si>
  <si>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</si>
  <si>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</si>
  <si>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</si>
  <si>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</si>
  <si>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</si>
  <si>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</si>
  <si>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</si>
  <si>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</si>
  <si>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</si>
  <si>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</si>
  <si>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</si>
  <si>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</si>
  <si>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</si>
  <si>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</si>
  <si>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</si>
  <si>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</si>
  <si>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</si>
  <si>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</si>
  <si>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</si>
  <si>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</si>
  <si>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</si>
  <si>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</si>
  <si>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</si>
  <si>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</si>
  <si>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</si>
  <si>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</si>
  <si>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</si>
  <si>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</si>
  <si>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</si>
  <si>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</si>
  <si>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</si>
  <si>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</si>
  <si>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</si>
  <si>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</si>
  <si>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</si>
  <si>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</si>
  <si>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</si>
  <si>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</si>
  <si>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</si>
  <si>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</si>
  <si>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</si>
  <si>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</si>
  <si>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</si>
  <si>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</si>
  <si>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</si>
  <si>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</si>
  <si>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</si>
  <si>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</si>
  <si>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</si>
  <si>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</si>
  <si>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</si>
  <si>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</si>
  <si>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</si>
  <si>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</si>
  <si>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</si>
  <si>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</si>
  <si>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</si>
  <si>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</si>
  <si>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</si>
  <si>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</si>
  <si>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</si>
  <si>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</si>
  <si>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</si>
  <si>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</si>
  <si>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</si>
  <si>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</si>
  <si>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</si>
  <si>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</si>
  <si>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</si>
  <si>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</si>
  <si>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</si>
  <si>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</si>
  <si>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</si>
  <si>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</si>
  <si>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</si>
  <si>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</si>
  <si>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</si>
  <si>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</si>
  <si>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</si>
  <si>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</si>
  <si>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</si>
  <si>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</si>
  <si>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</si>
  <si>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</si>
  <si>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</si>
  <si>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</si>
  <si>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</si>
  <si>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</si>
  <si>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</si>
  <si>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</si>
  <si>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</si>
  <si>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</si>
  <si>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</si>
  <si>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</si>
  <si>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</si>
  <si>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</si>
  <si>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</si>
  <si>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</si>
  <si>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</si>
  <si>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</si>
  <si>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</si>
  <si>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</si>
  <si>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</si>
  <si>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</si>
  <si>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</si>
  <si>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</si>
  <si>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</si>
  <si>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</si>
  <si>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</si>
  <si>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</si>
  <si>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</si>
  <si>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</si>
  <si>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</si>
  <si>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</si>
  <si>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</si>
  <si>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</si>
  <si>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</si>
  <si>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</si>
  <si>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</si>
  <si>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</si>
  <si>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</si>
  <si>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</si>
  <si>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</si>
  <si>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</si>
  <si>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</si>
  <si>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</si>
  <si>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</si>
  <si>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</si>
  <si>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</si>
  <si>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</si>
  <si>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</si>
  <si>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</si>
  <si>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</si>
  <si>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</si>
  <si>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</si>
  <si>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</si>
  <si>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</si>
  <si>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</si>
  <si>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</si>
  <si>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</si>
  <si>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</si>
  <si>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</si>
  <si>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</si>
  <si>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</si>
  <si>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</si>
  <si>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</si>
  <si>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</si>
  <si>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</si>
  <si>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</si>
  <si>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</si>
  <si>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</si>
  <si>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</si>
  <si>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</si>
  <si>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</si>
  <si>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</si>
  <si>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</si>
  <si>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</si>
  <si>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</si>
  <si>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</si>
  <si>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</si>
  <si>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</si>
  <si>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</si>
  <si>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</si>
  <si>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</si>
  <si>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</si>
  <si>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</si>
  <si>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</si>
  <si>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</si>
  <si>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</si>
  <si>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</si>
  <si>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</si>
  <si>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</si>
  <si>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</si>
  <si>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</si>
  <si>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</si>
  <si>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</si>
  <si>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</si>
  <si>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</si>
  <si>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</si>
  <si>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</si>
  <si>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</si>
  <si>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</si>
  <si>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</si>
  <si>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</si>
  <si>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</si>
  <si>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</si>
  <si>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</si>
  <si>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</si>
  <si>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</si>
  <si>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</si>
  <si>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</si>
  <si>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</si>
  <si>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</si>
  <si>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</si>
  <si>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</si>
  <si>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</si>
  <si>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</si>
  <si>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</si>
  <si>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</si>
  <si>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</si>
  <si>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</si>
  <si>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</si>
  <si>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</si>
  <si>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</si>
  <si>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</si>
  <si>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</si>
  <si>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</si>
  <si>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</si>
  <si>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</si>
  <si>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</si>
  <si>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</si>
  <si>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</si>
  <si>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</si>
  <si>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</si>
  <si>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</si>
  <si>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</si>
  <si>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</si>
  <si>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</si>
  <si>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</si>
  <si>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</si>
  <si>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</si>
  <si>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</si>
  <si>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</si>
  <si>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</si>
  <si>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</si>
  <si>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</si>
  <si>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</si>
  <si>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</si>
  <si>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</si>
  <si>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</si>
  <si>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</si>
  <si>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</si>
  <si>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</si>
  <si>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</si>
  <si>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</si>
  <si>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</si>
  <si>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</si>
  <si>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</si>
  <si>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</si>
  <si>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</si>
  <si>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</si>
  <si>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</si>
  <si>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</si>
  <si>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</si>
  <si>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</si>
  <si>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</si>
  <si>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</si>
  <si>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</si>
  <si>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</si>
  <si>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</si>
  <si>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</si>
  <si>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</si>
  <si>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</si>
  <si>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</si>
  <si>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</si>
  <si>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</si>
  <si>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</si>
  <si>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</si>
  <si>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</si>
  <si>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</si>
  <si>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</si>
  <si>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</si>
  <si>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</si>
  <si>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</si>
  <si>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</si>
  <si>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</si>
  <si>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</si>
  <si>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</si>
  <si>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</si>
  <si>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</si>
  <si>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</si>
  <si>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</si>
  <si>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</si>
  <si>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</si>
  <si>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</si>
  <si>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</si>
  <si>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</si>
  <si>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</si>
  <si>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</si>
  <si>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</si>
  <si>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</si>
  <si>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</si>
  <si>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</si>
  <si>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</si>
  <si>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</si>
  <si>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</si>
  <si>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</si>
  <si>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</si>
  <si>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</si>
  <si>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</si>
  <si>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</si>
  <si>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</si>
  <si>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</si>
  <si>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</si>
  <si>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</si>
  <si>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</si>
  <si>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</si>
  <si>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</si>
  <si>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</si>
  <si>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</si>
  <si>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</si>
  <si>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</si>
  <si>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</si>
  <si>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</si>
  <si>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</si>
  <si>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</si>
  <si>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</si>
  <si>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</si>
  <si>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</si>
  <si>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</si>
  <si>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</si>
  <si>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</si>
  <si>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ISLAS BALEARES</t>
  </si>
  <si>
    <t>Provincias</t>
  </si>
  <si>
    <t>ILLES BALEARS</t>
  </si>
  <si>
    <t>Resumenes por Partidos Judiciales</t>
  </si>
  <si>
    <t>MANACOR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</si>
</sst>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jkcjwtXaeiLO6rRIotgQZg0CJVt4zOQn52zPoKoz6Bxar4GwMxJdwp0GAT6SE4GmMfNSbJ03pSsQqmuby7mBpQ==" saltValue="5Q1QMIiObs6Hiq1th2CT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ISLAS BALEARES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36.146044624746452</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148</v>
      </c>
      <c r="D10" s="228">
        <f>IF(ISNUMBER(Datos!I10),Datos!I10," - ")</f>
        <v>185</v>
      </c>
      <c r="E10" s="229">
        <f>IF(ISNUMBER(Datos!J10),Datos!J10," - ")</f>
        <v>36</v>
      </c>
      <c r="F10" s="229">
        <f>IF(ISNUMBER(Datos!K10),Datos!K10," - ")</f>
        <v>17</v>
      </c>
      <c r="G10" s="1037" t="str">
        <f>IF(Datos!E10&lt;&gt;"",Datos!E10,Datos!D10)</f>
        <v>37</v>
      </c>
      <c r="H10" s="230">
        <f>IF(ISNUMBER(Datos!L10),Datos!L10," - ")</f>
        <v>167</v>
      </c>
      <c r="I10" s="1047" t="str">
        <f>IF(ISNUMBER(Datos!AS10/Datos!BM10),Datos!AS10/Datos!BM10," - ")</f>
        <v xml:space="preserve"> - </v>
      </c>
      <c r="J10" s="1048">
        <f>IF(ISNUMBER(Datos!BY10/Datos!CN10),Datos!BY10/Datos!CN10," - ")</f>
        <v>0</v>
      </c>
      <c r="K10" s="233">
        <f t="shared" ref="K10:K12" si="1">IF(ISNUMBER((E10-F10)/C10),(E10-F10)/C10," - ")</f>
        <v>0.12837837837837837</v>
      </c>
      <c r="L10" s="1028">
        <f>IF(ISNUMBER(NºAsuntos!I10/NºAsuntos!G10),(NºAsuntos!I10/NºAsuntos!G10)*11," - ")</f>
        <v>108.05882352941177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148</v>
      </c>
      <c r="D13" s="1052">
        <f>SUBTOTAL(9,D9:D12)</f>
        <v>185</v>
      </c>
      <c r="E13" s="1053">
        <f>SUBTOTAL(9,E9:E12)</f>
        <v>36</v>
      </c>
      <c r="F13" s="1054">
        <f>SUBTOTAL(9,F9:F12)</f>
        <v>17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3</v>
      </c>
      <c r="B15" s="505" t="str">
        <f>Datos!A15</f>
        <v xml:space="preserve">Jdos. Instrucción                               </v>
      </c>
      <c r="C15" s="228">
        <f t="shared" ref="C15:C17" si="2">IF(ISNUMBER(H15-E15+F15),H15-E15+F15," - ")</f>
        <v>1784</v>
      </c>
      <c r="D15" s="228">
        <f>IF(ISNUMBER(IF(D_I="SI",Datos!I15,Datos!I15+Datos!AC15)),IF(D_I="SI",Datos!I15,Datos!I15+Datos!AC15)," - ")</f>
        <v>1761</v>
      </c>
      <c r="E15" s="229">
        <f>IF(ISNUMBER(IF(D_I="SI",Datos!J15,Datos!J15+Datos!AD15)),IF(D_I="SI",Datos!J15,Datos!J15+Datos!AD15)," - ")</f>
        <v>2303</v>
      </c>
      <c r="F15" s="229">
        <f>IF(ISNUMBER(IF(D_I="SI",Datos!K15,Datos!K15+Datos!AE15)),IF(D_I="SI",Datos!K15,Datos!K15+Datos!AE15)," - ")</f>
        <v>2011</v>
      </c>
      <c r="G15" s="1037" t="str">
        <f>IF(Datos!E15&lt;&gt;"",Datos!E15,Datos!D15)</f>
        <v>03</v>
      </c>
      <c r="H15" s="230">
        <f>IF(ISNUMBER(IF(D_I="SI",Datos!L15,Datos!L15+Datos!AF15)),IF(D_I="SI",Datos!L15,Datos!L15+Datos!AF15)," - ")</f>
        <v>2076</v>
      </c>
      <c r="I15" s="1047" t="str">
        <f>IF(ISNUMBER(Datos!AS15/Datos!BM15),Datos!AS15/Datos!BM15," - ")</f>
        <v xml:space="preserve"> - </v>
      </c>
      <c r="J15" s="1048">
        <f>IF(ISNUMBER(Datos!BY15/Datos!CN15),Datos!BY15/Datos!CN15," - ")</f>
        <v>0</v>
      </c>
      <c r="K15" s="233">
        <f t="shared" ref="K15:K17" si="3">IF(ISNUMBER((E15-F15)/C15),(E15-F15)/C15," - ")</f>
        <v>0.16367713004484305</v>
      </c>
      <c r="L15" s="1028">
        <f>IF(ISNUMBER(NºAsuntos!I15/NºAsuntos!G15),(NºAsuntos!I15/NºAsuntos!G15)*11," - ")</f>
        <v>11.355544505221284</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182</v>
      </c>
      <c r="D17" s="228">
        <f>IF(ISNUMBER(IF(D_I="SI",Datos!I17,Datos!I17+Datos!AC17)),IF(D_I="SI",Datos!I17,Datos!I17+Datos!AC17)," - ")</f>
        <v>182</v>
      </c>
      <c r="E17" s="229">
        <f>IF(ISNUMBER(IF(D_I="SI",Datos!J17,Datos!J17+Datos!AD17)),IF(D_I="SI",Datos!J17,Datos!J17+Datos!AD17)," - ")</f>
        <v>305</v>
      </c>
      <c r="F17" s="229">
        <f>IF(ISNUMBER(IF(D_I="SI",Datos!K17,Datos!K17+Datos!AE17)),IF(D_I="SI",Datos!K17,Datos!K17+Datos!AE17)," - ")</f>
        <v>321</v>
      </c>
      <c r="G17" s="1037" t="str">
        <f>IF(Datos!E17&lt;&gt;"",Datos!E17,Datos!D17)</f>
        <v>37</v>
      </c>
      <c r="H17" s="230">
        <f>IF(ISNUMBER(IF(D_I="SI",Datos!L17,Datos!L17+Datos!AF17)),IF(D_I="SI",Datos!L17,Datos!L17+Datos!AF17)," - ")</f>
        <v>166</v>
      </c>
      <c r="I17" s="1047" t="str">
        <f>IF(ISNUMBER(Datos!AS17/Datos!BM17),Datos!AS17/Datos!BM17," - ")</f>
        <v xml:space="preserve"> - </v>
      </c>
      <c r="J17" s="1048" t="str">
        <f>IF(ISNUMBER((Datos!BY17+Datos!BZ17)/Datos!CN17),(Datos!BY17+Datos!BZ17)/Datos!CN17," - ")</f>
        <v xml:space="preserve"> - </v>
      </c>
      <c r="K17" s="233">
        <f t="shared" si="3"/>
        <v>-8.7912087912087919E-2</v>
      </c>
      <c r="L17" s="1028">
        <f>IF(ISNUMBER(NºAsuntos!I17/NºAsuntos!G17),(NºAsuntos!I17/NºAsuntos!G17)*11," - ")</f>
        <v>5.6884735202492207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1966</v>
      </c>
      <c r="D18" s="1052">
        <f>SUBTOTAL(9,D15:D17)</f>
        <v>1943</v>
      </c>
      <c r="E18" s="1053">
        <f>SUBTOTAL(9,E15:E17)</f>
        <v>2608</v>
      </c>
      <c r="F18" s="1053">
        <f>SUBTOTAL(9,F15:F17)</f>
        <v>2332</v>
      </c>
      <c r="G18" s="1055" t="str">
        <f ca="1">INDIRECT(CONCATENATE("G",ROW()-1))</f>
        <v>37</v>
      </c>
      <c r="H18" s="1056">
        <f ca="1">SUMIF(G$14:G17,G18,H$14:H17)</f>
        <v>166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2114</v>
      </c>
      <c r="D19" s="1074">
        <f>SUBTOTAL(9,D9:D18)</f>
        <v>2128</v>
      </c>
      <c r="E19" s="1075">
        <f>SUBTOTAL(9,E9:E18)</f>
        <v>2644</v>
      </c>
      <c r="F19" s="1075">
        <f>SUBTOTAL(9,F9:F18)</f>
        <v>2349</v>
      </c>
      <c r="G19" s="1076"/>
      <c r="H19" s="1077">
        <f ca="1">SUMIF(B9:B18,"TOTAL",H9:H18)</f>
        <v>166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FRGkb4dMdWt+/incJ6ckK08uof46wCjg4FnlsXaGly6smJo6Ju9BAAcBn7a89yMcbWCfQdnTulYjS3tG3zvdkw==" saltValue="7DylrUNKPKBxxsLkM8Otk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3n/m25hsNuZFf0H533Vx31sHSYtrRhEJHEjAgvPUpbKCb99Q+X+ea562jBHhvRHJTpzXxwwGg35ETLkNk2hebg==" saltValue="ngxWEJ5qB/UbQd0oqzN+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4462</v>
      </c>
      <c r="J9" s="184">
        <v>1650</v>
      </c>
      <c r="K9" s="184">
        <v>1387</v>
      </c>
      <c r="L9" s="184">
        <v>4725</v>
      </c>
      <c r="M9" s="184">
        <v>396</v>
      </c>
      <c r="N9" s="184">
        <v>595</v>
      </c>
      <c r="O9" s="184">
        <v>551</v>
      </c>
      <c r="P9" s="184">
        <v>350</v>
      </c>
      <c r="Q9" s="184">
        <v>147</v>
      </c>
      <c r="R9" s="184">
        <v>6597</v>
      </c>
      <c r="S9" s="184">
        <v>3446</v>
      </c>
      <c r="T9" s="184">
        <v>1619</v>
      </c>
      <c r="U9" s="184">
        <v>1154</v>
      </c>
      <c r="V9" s="184">
        <v>3729</v>
      </c>
      <c r="W9" s="184">
        <v>336</v>
      </c>
      <c r="X9" s="191">
        <v>483</v>
      </c>
      <c r="Y9" s="194">
        <v>115</v>
      </c>
      <c r="Z9" s="184">
        <v>112</v>
      </c>
      <c r="AA9" s="184">
        <v>92</v>
      </c>
      <c r="AB9" s="184">
        <v>135</v>
      </c>
      <c r="AC9" s="184">
        <v>0</v>
      </c>
      <c r="AD9" s="184">
        <v>0</v>
      </c>
      <c r="AE9" s="184">
        <v>0</v>
      </c>
      <c r="AF9" s="191">
        <v>0</v>
      </c>
      <c r="AG9" s="194">
        <v>119</v>
      </c>
      <c r="AH9" s="184">
        <v>91</v>
      </c>
      <c r="AI9" s="184">
        <v>88</v>
      </c>
      <c r="AJ9" s="195">
        <v>122</v>
      </c>
      <c r="AK9" s="183">
        <v>0</v>
      </c>
      <c r="AL9" s="184">
        <v>0</v>
      </c>
      <c r="AM9" s="184">
        <v>0</v>
      </c>
      <c r="AN9" s="191">
        <v>0</v>
      </c>
      <c r="AO9" s="261">
        <v>5</v>
      </c>
      <c r="AP9" s="157">
        <v>5</v>
      </c>
      <c r="AQ9" s="157">
        <v>5</v>
      </c>
      <c r="AR9" s="196">
        <v>5</v>
      </c>
      <c r="AS9" s="341" t="s">
        <v>804</v>
      </c>
      <c r="AT9" s="198"/>
      <c r="AU9" s="197"/>
      <c r="AV9" s="198"/>
      <c r="AW9" s="197"/>
      <c r="AX9" s="198"/>
      <c r="AY9" s="123">
        <f>IF(ISNUMBER(IF(J_V="SI",S9,S9+AG9)),IF(J_V="SI",S9,S9+AG9)," - ")</f>
        <v>3565</v>
      </c>
      <c r="AZ9" s="123">
        <f>IF(ISNUMBER(IF(J_V="SI",T9,T9+AH9)),IF(J_V="SI",T9,T9+AH9)," - ")</f>
        <v>1710</v>
      </c>
      <c r="BA9" s="124">
        <f>IF(ISNUMBER(IF(J_V="SI",U9,U9+AI9)),IF(J_V="SI",U9,U9+AI9)," - ")</f>
        <v>1242</v>
      </c>
      <c r="BB9" s="124">
        <f>IF(ISNUMBER(IF(J_V="SI",V9,V9+AJ9)),IF(J_V="SI",V9,V9+AJ9)," - ")</f>
        <v>3851</v>
      </c>
      <c r="BC9" s="125">
        <f>IF(ISNUMBER(X9),X9," - ")</f>
        <v>483</v>
      </c>
      <c r="BD9" s="126">
        <f>IF(ISNUMBER(BA9/AZ9),BA9/AZ9," - ")</f>
        <v>0.72631578947368425</v>
      </c>
      <c r="BE9" s="127">
        <f>IF(ISNUMBER(BB9/BA9),BB9/BA9, " - ")</f>
        <v>3.1006441223832528</v>
      </c>
      <c r="BF9" s="127">
        <f>IF(ISNUMBER(BC9/BA9),BC9/BA9, " - ")</f>
        <v>0.3888888888888889</v>
      </c>
      <c r="BG9" s="199">
        <f>IF(ISNUMBER((AY9+AZ9)/BA9),(AY9+AZ9)/BA9," - ")</f>
        <v>4.2471819645732687</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185</v>
      </c>
      <c r="J10" s="184">
        <v>36</v>
      </c>
      <c r="K10" s="184">
        <v>17</v>
      </c>
      <c r="L10" s="184">
        <v>167</v>
      </c>
      <c r="M10" s="184">
        <v>8</v>
      </c>
      <c r="N10" s="184">
        <v>5</v>
      </c>
      <c r="O10" s="184">
        <v>21</v>
      </c>
      <c r="P10" s="184">
        <v>5</v>
      </c>
      <c r="Q10" s="184">
        <v>19</v>
      </c>
      <c r="R10" s="184">
        <v>64</v>
      </c>
      <c r="S10" s="184">
        <v>123</v>
      </c>
      <c r="T10" s="184">
        <v>34</v>
      </c>
      <c r="U10" s="184">
        <v>14</v>
      </c>
      <c r="V10" s="184">
        <v>143</v>
      </c>
      <c r="W10" s="184">
        <v>7</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123</v>
      </c>
      <c r="AZ10" s="129">
        <f t="shared" si="0"/>
        <v>34</v>
      </c>
      <c r="BA10" s="129">
        <f t="shared" si="0"/>
        <v>14</v>
      </c>
      <c r="BB10" s="129">
        <f t="shared" si="0"/>
        <v>143</v>
      </c>
      <c r="BC10" s="125">
        <f t="shared" si="0"/>
        <v>7</v>
      </c>
      <c r="BD10" s="126">
        <f>IF(ISNUMBER(BA10/AZ10),BA10/AZ10," - ")</f>
        <v>0.41176470588235292</v>
      </c>
      <c r="BE10" s="127">
        <f>IF(ISNUMBER(BB10/BA10),BB10/BA10, " - ")</f>
        <v>10.214285714285714</v>
      </c>
      <c r="BF10" s="127">
        <f>IF(ISNUMBER(BC10/BA10),BC10/BA10, " - ")</f>
        <v>0.5</v>
      </c>
      <c r="BG10" s="199">
        <f>IF(ISNUMBER((AY10+AZ10)/BA10),(AY10+AZ10)/BA10," - ")</f>
        <v>11.214285714285714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4647</v>
      </c>
      <c r="J13" s="187">
        <f t="shared" si="6"/>
        <v>1686</v>
      </c>
      <c r="K13" s="187">
        <f t="shared" si="6"/>
        <v>1404</v>
      </c>
      <c r="L13" s="187">
        <f t="shared" si="6"/>
        <v>4892</v>
      </c>
      <c r="M13" s="187">
        <f t="shared" si="6"/>
        <v>404</v>
      </c>
      <c r="N13" s="187">
        <f t="shared" si="6"/>
        <v>600</v>
      </c>
      <c r="O13" s="187">
        <f t="shared" si="6"/>
        <v>572</v>
      </c>
      <c r="P13" s="187">
        <f t="shared" si="6"/>
        <v>355</v>
      </c>
      <c r="Q13" s="187">
        <f t="shared" si="6"/>
        <v>166</v>
      </c>
      <c r="R13" s="187">
        <f t="shared" si="6"/>
        <v>6661</v>
      </c>
      <c r="S13" s="187">
        <f t="shared" si="6"/>
        <v>3569</v>
      </c>
      <c r="T13" s="187">
        <f t="shared" si="6"/>
        <v>1653</v>
      </c>
      <c r="U13" s="187">
        <f t="shared" si="6"/>
        <v>1168</v>
      </c>
      <c r="V13" s="187">
        <f t="shared" si="6"/>
        <v>3872</v>
      </c>
      <c r="W13" s="187">
        <f t="shared" si="6"/>
        <v>343</v>
      </c>
      <c r="X13" s="187">
        <f t="shared" si="6"/>
        <v>487</v>
      </c>
      <c r="Y13" s="187">
        <f t="shared" si="6"/>
        <v>115</v>
      </c>
      <c r="Z13" s="187">
        <f t="shared" si="6"/>
        <v>112</v>
      </c>
      <c r="AA13" s="187">
        <f t="shared" si="6"/>
        <v>92</v>
      </c>
      <c r="AB13" s="187">
        <f t="shared" si="6"/>
        <v>135</v>
      </c>
      <c r="AC13" s="187">
        <f t="shared" si="6"/>
        <v>0</v>
      </c>
      <c r="AD13" s="187">
        <f t="shared" si="6"/>
        <v>0</v>
      </c>
      <c r="AE13" s="187">
        <f t="shared" si="6"/>
        <v>0</v>
      </c>
      <c r="AF13" s="187">
        <f>SUBTOTAL(9,AF9:AF12)</f>
        <v>0</v>
      </c>
      <c r="AG13" s="187">
        <f t="shared" ref="AG13:AT13" si="7">SUBTOTAL(9,AG8:AG12)</f>
        <v>119</v>
      </c>
      <c r="AH13" s="187">
        <f t="shared" si="7"/>
        <v>91</v>
      </c>
      <c r="AI13" s="187">
        <f t="shared" si="7"/>
        <v>88</v>
      </c>
      <c r="AJ13" s="187">
        <f t="shared" si="7"/>
        <v>122</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3688</v>
      </c>
      <c r="AZ13" s="187">
        <f>SUBTOTAL(9,AZ8:AZ12)</f>
        <v>1744</v>
      </c>
      <c r="BA13" s="187">
        <f>SUBTOTAL(9,BA8:BA12)</f>
        <v>1256</v>
      </c>
      <c r="BB13" s="187">
        <f>SUBTOTAL(9,BB8:BB12)</f>
        <v>3994</v>
      </c>
      <c r="BC13" s="187">
        <f>SUBTOTAL(9,BC8:BC12)</f>
        <v>490</v>
      </c>
      <c r="BD13" s="208">
        <f>IF(ISNUMBER(BA13/AZ13),BA13/AZ13," - ")</f>
        <v>0.72018348623853212</v>
      </c>
      <c r="BE13" s="209">
        <f>IF(ISNUMBER(BB13/BA13),BB13/BA13, " - ")</f>
        <v>3.1799363057324839</v>
      </c>
      <c r="BF13" s="209">
        <f>IF(ISNUMBER(BC13/BA13),BC13/BA13, " - ")</f>
        <v>0.39012738853503187</v>
      </c>
      <c r="BG13" s="210">
        <f>IF(ISNUMBER((AY13+AZ13)/BA13),(AY13+AZ13)/BA13," - ")</f>
        <v>4.3248407643312099</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1761</v>
      </c>
      <c r="J15" s="186">
        <v>2303</v>
      </c>
      <c r="K15" s="186">
        <v>2011</v>
      </c>
      <c r="L15" s="186">
        <v>2076</v>
      </c>
      <c r="M15" s="186">
        <v>139</v>
      </c>
      <c r="N15" s="186">
        <v>1297</v>
      </c>
      <c r="O15" s="184">
        <v>12</v>
      </c>
      <c r="P15" s="186">
        <v>17</v>
      </c>
      <c r="Q15" s="186">
        <v>15</v>
      </c>
      <c r="R15" s="186">
        <v>169</v>
      </c>
      <c r="S15" s="186">
        <v>1366</v>
      </c>
      <c r="T15" s="186">
        <v>1732</v>
      </c>
      <c r="U15" s="186">
        <v>1813</v>
      </c>
      <c r="V15" s="186">
        <v>1299</v>
      </c>
      <c r="W15" s="186">
        <v>168</v>
      </c>
      <c r="X15" s="192">
        <v>1296</v>
      </c>
      <c r="Y15" s="205">
        <v>0</v>
      </c>
      <c r="Z15" s="186">
        <v>0</v>
      </c>
      <c r="AA15" s="186">
        <v>0</v>
      </c>
      <c r="AB15" s="186">
        <v>0</v>
      </c>
      <c r="AC15" s="186">
        <v>0</v>
      </c>
      <c r="AD15" s="186">
        <v>0</v>
      </c>
      <c r="AE15" s="186">
        <v>0</v>
      </c>
      <c r="AF15" s="192">
        <v>0</v>
      </c>
      <c r="AG15" s="205">
        <v>0</v>
      </c>
      <c r="AH15" s="186">
        <v>0</v>
      </c>
      <c r="AI15" s="186">
        <v>0</v>
      </c>
      <c r="AJ15" s="206">
        <v>0</v>
      </c>
      <c r="AK15" s="185">
        <v>2</v>
      </c>
      <c r="AL15" s="186">
        <v>0</v>
      </c>
      <c r="AM15" s="186">
        <v>2</v>
      </c>
      <c r="AN15" s="192">
        <v>0</v>
      </c>
      <c r="AO15" s="262">
        <v>3</v>
      </c>
      <c r="AP15" s="158">
        <v>3</v>
      </c>
      <c r="AQ15" s="158">
        <v>3</v>
      </c>
      <c r="AR15" s="158">
        <v>3</v>
      </c>
      <c r="AS15" s="343" t="s">
        <v>531</v>
      </c>
      <c r="AT15" s="206" t="s">
        <v>329</v>
      </c>
      <c r="AU15" s="205"/>
      <c r="AV15" s="206"/>
      <c r="AW15" s="205"/>
      <c r="AX15" s="206"/>
      <c r="AY15" s="128">
        <f t="shared" ref="AY15:BB16" si="9">IF(ISNUMBER(IF(D_I="SI",S15,S15+AK15)),IF(D_I="SI",S15,S15+AK15)," - ")</f>
        <v>1366</v>
      </c>
      <c r="AZ15" s="129">
        <f t="shared" si="9"/>
        <v>1732</v>
      </c>
      <c r="BA15" s="129">
        <f t="shared" si="9"/>
        <v>1813</v>
      </c>
      <c r="BB15" s="129">
        <f t="shared" si="9"/>
        <v>1299</v>
      </c>
      <c r="BC15" s="125">
        <f>IF(ISNUMBER(W15),W15," - ")</f>
        <v>168</v>
      </c>
      <c r="BD15" s="126">
        <f>IF(ISNUMBER(BA15/AZ15),BA15/AZ15," - ")</f>
        <v>1.0467667436489607</v>
      </c>
      <c r="BE15" s="127">
        <f>IF(ISNUMBER(BB15/BA15),BB15/BA15, " - ")</f>
        <v>0.71649200220628795</v>
      </c>
      <c r="BF15" s="127">
        <f>IF(ISNUMBER(BC15/BA15),BC15/BA15, " - ")</f>
        <v>9.2664092664092659E-2</v>
      </c>
      <c r="BG15" s="199">
        <f t="shared" ref="BG15:BG16" si="10">IF(ISNUMBER((AY15+AZ15)/BA15),(AY15+AZ15)/BA15," - ")</f>
        <v>1.7087699944842802</v>
      </c>
      <c r="BH15" s="158">
        <v>3</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182</v>
      </c>
      <c r="J17" s="186">
        <v>305</v>
      </c>
      <c r="K17" s="186">
        <v>321</v>
      </c>
      <c r="L17" s="186">
        <v>166</v>
      </c>
      <c r="M17" s="186">
        <v>44</v>
      </c>
      <c r="N17" s="186">
        <v>230</v>
      </c>
      <c r="O17" s="186">
        <v>17</v>
      </c>
      <c r="P17" s="186">
        <v>4</v>
      </c>
      <c r="Q17" s="186">
        <v>17</v>
      </c>
      <c r="R17" s="186">
        <v>31</v>
      </c>
      <c r="S17" s="186">
        <v>258</v>
      </c>
      <c r="T17" s="186">
        <v>257</v>
      </c>
      <c r="U17" s="186">
        <v>296</v>
      </c>
      <c r="V17" s="186">
        <v>224</v>
      </c>
      <c r="W17" s="186">
        <v>37</v>
      </c>
      <c r="X17" s="192">
        <v>211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258</v>
      </c>
      <c r="AZ17" s="129">
        <f t="shared" si="14"/>
        <v>257</v>
      </c>
      <c r="BA17" s="129">
        <f t="shared" si="14"/>
        <v>296</v>
      </c>
      <c r="BB17" s="129">
        <f t="shared" si="14"/>
        <v>224</v>
      </c>
      <c r="BC17" s="125">
        <f>IF(ISNUMBER(W17),W17," - ")</f>
        <v>37</v>
      </c>
      <c r="BD17" s="126">
        <f>IF(ISNUMBER(BA17/AZ17),BA17/AZ17," - ")</f>
        <v>1.1517509727626458</v>
      </c>
      <c r="BE17" s="127">
        <f>IF(ISNUMBER(BB17/BA17),BB17/BA17, " - ")</f>
        <v>0.7567567567567568</v>
      </c>
      <c r="BF17" s="127">
        <f>IF(ISNUMBER(BC17/BA17),BC17/BA17, " - ")</f>
        <v>0.125</v>
      </c>
      <c r="BG17" s="199">
        <f>IF(ISNUMBER((AY17+AZ17)/BA17),(AY17+AZ17)/BA17," - ")</f>
        <v>1.7398648648648649</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1943</v>
      </c>
      <c r="J18" s="187">
        <f t="shared" si="15"/>
        <v>2608</v>
      </c>
      <c r="K18" s="187">
        <f t="shared" si="15"/>
        <v>2332</v>
      </c>
      <c r="L18" s="187">
        <f t="shared" si="15"/>
        <v>2242</v>
      </c>
      <c r="M18" s="187">
        <f t="shared" si="15"/>
        <v>183</v>
      </c>
      <c r="N18" s="187">
        <f t="shared" si="15"/>
        <v>1527</v>
      </c>
      <c r="O18" s="187">
        <f t="shared" si="15"/>
        <v>29</v>
      </c>
      <c r="P18" s="187">
        <f t="shared" si="15"/>
        <v>21</v>
      </c>
      <c r="Q18" s="187">
        <f t="shared" si="15"/>
        <v>32</v>
      </c>
      <c r="R18" s="187">
        <f t="shared" si="15"/>
        <v>200</v>
      </c>
      <c r="S18" s="187">
        <f t="shared" si="15"/>
        <v>1624</v>
      </c>
      <c r="T18" s="187">
        <f t="shared" si="15"/>
        <v>1989</v>
      </c>
      <c r="U18" s="187">
        <f t="shared" si="15"/>
        <v>2109</v>
      </c>
      <c r="V18" s="187">
        <f t="shared" si="15"/>
        <v>1523</v>
      </c>
      <c r="W18" s="187">
        <f t="shared" si="15"/>
        <v>205</v>
      </c>
      <c r="X18" s="187">
        <f t="shared" si="15"/>
        <v>1507</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2</v>
      </c>
      <c r="AL18" s="187">
        <f t="shared" si="15"/>
        <v>0</v>
      </c>
      <c r="AM18" s="187">
        <f t="shared" si="15"/>
        <v>2</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1624</v>
      </c>
      <c r="AZ18" s="187">
        <f>SUBTOTAL(9,AZ14:AZ17)</f>
        <v>1989</v>
      </c>
      <c r="BA18" s="187">
        <f>SUBTOTAL(9,BA14:BA17)</f>
        <v>2109</v>
      </c>
      <c r="BB18" s="187">
        <f>SUBTOTAL(9,BB14:BB17)</f>
        <v>1523</v>
      </c>
      <c r="BC18" s="187">
        <f>SUBTOTAL(9,BC14:BC17)</f>
        <v>205</v>
      </c>
      <c r="BD18" s="208">
        <f>IF(ISNUMBER(BA18/AZ18),BA18/AZ18," - ")</f>
        <v>1.0603318250377074</v>
      </c>
      <c r="BE18" s="209">
        <f>IF(ISNUMBER(BB18/BA18),BB18/BA18, " - ")</f>
        <v>0.72214319582740638</v>
      </c>
      <c r="BF18" s="209">
        <f>IF(ISNUMBER(BC18/BA18),BC18/BA18, " - ")</f>
        <v>9.7202465623518253E-2</v>
      </c>
      <c r="BG18" s="210">
        <f>IF(ISNUMBER((AY18+AZ18)/BA18),(AY18+AZ18)/BA18," - ")</f>
        <v>1.7131341868183974</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6590</v>
      </c>
      <c r="J19" s="134">
        <f t="shared" si="18"/>
        <v>4294</v>
      </c>
      <c r="K19" s="134">
        <f t="shared" si="18"/>
        <v>3736</v>
      </c>
      <c r="L19" s="134">
        <f t="shared" si="18"/>
        <v>7134</v>
      </c>
      <c r="M19" s="134">
        <f t="shared" si="18"/>
        <v>587</v>
      </c>
      <c r="N19" s="134">
        <f t="shared" si="18"/>
        <v>2127</v>
      </c>
      <c r="O19" s="134">
        <f t="shared" si="18"/>
        <v>601</v>
      </c>
      <c r="P19" s="134">
        <f t="shared" si="18"/>
        <v>376</v>
      </c>
      <c r="Q19" s="134">
        <f t="shared" si="18"/>
        <v>198</v>
      </c>
      <c r="R19" s="134">
        <f t="shared" si="18"/>
        <v>6861</v>
      </c>
      <c r="S19" s="134">
        <f t="shared" si="18"/>
        <v>5193</v>
      </c>
      <c r="T19" s="134">
        <f t="shared" si="18"/>
        <v>3642</v>
      </c>
      <c r="U19" s="134">
        <f t="shared" si="18"/>
        <v>3277</v>
      </c>
      <c r="V19" s="134">
        <f t="shared" si="18"/>
        <v>5395</v>
      </c>
      <c r="W19" s="134">
        <f t="shared" si="18"/>
        <v>548</v>
      </c>
      <c r="X19" s="134">
        <f t="shared" si="18"/>
        <v>1994</v>
      </c>
      <c r="Y19" s="134">
        <f t="shared" si="18"/>
        <v>115</v>
      </c>
      <c r="Z19" s="134">
        <f t="shared" si="18"/>
        <v>112</v>
      </c>
      <c r="AA19" s="134">
        <f t="shared" si="18"/>
        <v>92</v>
      </c>
      <c r="AB19" s="134">
        <f t="shared" si="18"/>
        <v>135</v>
      </c>
      <c r="AC19" s="134">
        <f t="shared" si="18"/>
        <v>0</v>
      </c>
      <c r="AD19" s="134">
        <f t="shared" si="18"/>
        <v>0</v>
      </c>
      <c r="AE19" s="134">
        <f t="shared" si="18"/>
        <v>0</v>
      </c>
      <c r="AF19" s="134">
        <f t="shared" si="18"/>
        <v>0</v>
      </c>
      <c r="AG19" s="134">
        <f t="shared" si="18"/>
        <v>119</v>
      </c>
      <c r="AH19" s="134">
        <f t="shared" si="18"/>
        <v>91</v>
      </c>
      <c r="AI19" s="134">
        <f t="shared" si="18"/>
        <v>88</v>
      </c>
      <c r="AJ19" s="134">
        <f t="shared" si="18"/>
        <v>122</v>
      </c>
      <c r="AK19" s="134">
        <f t="shared" si="18"/>
        <v>2</v>
      </c>
      <c r="AL19" s="134">
        <f t="shared" si="18"/>
        <v>0</v>
      </c>
      <c r="AM19" s="134">
        <f t="shared" si="18"/>
        <v>2</v>
      </c>
      <c r="AN19" s="213">
        <f t="shared" si="18"/>
        <v>0</v>
      </c>
      <c r="AO19" s="214">
        <v>9</v>
      </c>
      <c r="AP19" s="214">
        <v>8</v>
      </c>
      <c r="AQ19" s="214">
        <v>8</v>
      </c>
      <c r="AR19" s="214">
        <v>8</v>
      </c>
      <c r="AS19" s="156">
        <f t="shared" si="18"/>
        <v>0</v>
      </c>
      <c r="AT19" s="156">
        <f t="shared" si="18"/>
        <v>0</v>
      </c>
      <c r="AU19" s="214"/>
      <c r="AV19" s="215"/>
      <c r="AW19" s="214"/>
      <c r="AX19" s="215"/>
      <c r="AY19" s="133">
        <f>SUBTOTAL(9,AY9:AY18)</f>
        <v>5312</v>
      </c>
      <c r="AZ19" s="134">
        <f>SUBTOTAL(9,AZ9:AZ18)</f>
        <v>3733</v>
      </c>
      <c r="BA19" s="134">
        <f>SUBTOTAL(9,BA9:BA18)</f>
        <v>3365</v>
      </c>
      <c r="BB19" s="134">
        <f>SUBTOTAL(9,BB9:BB18)</f>
        <v>5517</v>
      </c>
      <c r="BC19" s="135">
        <f>SUBTOTAL(9,BC9:BC18)</f>
        <v>695</v>
      </c>
      <c r="BD19" s="216">
        <f>IF(ISNUMBER(BA19/AZ19),BA19/AZ19," - ")</f>
        <v>0.90141976962228776</v>
      </c>
      <c r="BE19" s="213">
        <f>IF(ISNUMBER(BB19/BA19),BB19/BA19, " - ")</f>
        <v>1.6395245170876671</v>
      </c>
      <c r="BF19" s="213">
        <f>IF(ISNUMBER(BC19/BA19),BC19/BA19, " - ")</f>
        <v>0.20653789004457651</v>
      </c>
      <c r="BG19" s="135">
        <f>IF(ISNUMBER((AY19+AZ19)/BA19),(AY19+AZ19)/BA19," - ")</f>
        <v>2.6879643387815753</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unlpRJ1OFClJAcqu4RTMu+y2qk0xwUAd6aBMkuCleyrMFTzjxw7klLE+J4vY/wcb3vlHAk0YicXF5Q7QqYo3Q==" saltValue="0ZMS/DkrnfwQy32CBZDhP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EI7s6M27j5ephk4Fat0FDafN1Pcgo2Ex5sugNPmmD7xG+JauffekG70uq4OwtgIjcFhW51jqs5OLfIQX6F7xw==" saltValue="BWv8GHoQj2frmoU1DRk2H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ISLAS BALEARES</v>
      </c>
    </row>
    <row r="2" spans="1:74" ht="16.5" customHeight="1">
      <c r="C2" s="491" t="str">
        <f>Criterios!A10 &amp;"  "&amp;Criterios!B10 &amp; "  " &amp; IF(NOT(ISBLANK(Criterios!A11)),Criterios!A11 &amp;"  "&amp;Criterios!B11,"")</f>
        <v>Provincias  ILLES BALEARS  Resumenes por Partidos Judiciales  MANACOR</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249</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112</v>
      </c>
      <c r="O9" s="337"/>
      <c r="P9" s="337"/>
      <c r="Q9" s="229">
        <f>IF(ISNUMBER(Datos!P9),Datos!P9,0)</f>
        <v>350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147</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135</v>
      </c>
      <c r="AI9" s="337" t="str">
        <f>IF(ISNUMBER(Datos!CD9),Datos!CD9,"-")</f>
        <v>-</v>
      </c>
      <c r="AJ9" s="337" t="str">
        <f>IF(ISNUMBER(Datos!EN9),Datos!EN9," - ")</f>
        <v xml:space="preserve"> - </v>
      </c>
      <c r="AK9" s="337"/>
      <c r="AL9" s="482"/>
      <c r="AM9" s="338">
        <f>IF(ISNUMBER(Datos!R9),Datos!R9," - ")</f>
        <v>6597</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396</v>
      </c>
      <c r="BD9" s="232">
        <f>IF(ISNUMBER(Datos!N9),Datos!N9," - ")</f>
        <v>595</v>
      </c>
      <c r="BE9" s="232" t="str">
        <f>IF(ISNUMBER(Datos!BW9),Datos!BW9," - ")</f>
        <v xml:space="preserve"> - </v>
      </c>
      <c r="BF9" s="231" t="str">
        <f>IF(ISNUMBER(Datos!BX9),Datos!BX9," - ")</f>
        <v xml:space="preserve"> - </v>
      </c>
      <c r="BG9" s="246">
        <f>IF(ISNUMBER(IF(J_V="SI",Datos!K9/Datos!J9,(Datos!K9+Datos!AA9)/(Datos!J9+Datos!Z9))),IF(J_V="SI",Datos!K9/Datos!J9,(Datos!K9+Datos!AA9)/(Datos!J9+Datos!Z9))," - ")</f>
        <v>0.83938706015891029</v>
      </c>
      <c r="BH9" s="263">
        <f>IF(ISNUMBER(((IF(J_V="SI",Datos!L9/Datos!K9,(Datos!L9+Datos!AB9)/(Datos!K9+Datos!AA9)))*11)/factor_trimestre),((IF(J_V="SI",Datos!L9/Datos!K9,(Datos!L9+Datos!AB9)/(Datos!K9+Datos!AA9)))*11)/factor_trimestre," - ")</f>
        <v>9.8580121703853969</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3.1748514232092587E-2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148</v>
      </c>
      <c r="G10" s="336">
        <f>IF(ISNUMBER(Datos!I10),Datos!I10," - ")</f>
        <v>185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5</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17</v>
      </c>
      <c r="AC10" s="229">
        <f>IF(ISNUMBER(Datos!Q10),Datos!Q10," - ")</f>
        <v>19</v>
      </c>
      <c r="AD10" s="337"/>
      <c r="AE10" s="487"/>
      <c r="AF10" s="335">
        <f>IF(ISNUMBER(Datos!L10),Datos!L10,"-")</f>
        <v>167</v>
      </c>
      <c r="AG10" s="337"/>
      <c r="AH10" s="337"/>
      <c r="AI10" s="337"/>
      <c r="AJ10" s="337"/>
      <c r="AK10" s="337"/>
      <c r="AL10" s="482"/>
      <c r="AM10" s="338">
        <f>IF(ISNUMBER(Datos!R10),Datos!R10," - ")</f>
        <v>64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8</v>
      </c>
      <c r="BD10" s="232">
        <f>IF(ISNUMBER(Datos!N10),Datos!N10," - ")</f>
        <v>5</v>
      </c>
      <c r="BE10" s="232" t="str">
        <f>IF(ISNUMBER(Datos!BW10),Datos!BW10," - ")</f>
        <v xml:space="preserve"> - </v>
      </c>
      <c r="BF10" s="231" t="str">
        <f>IF(ISNUMBER(Datos!BX10),Datos!BX10," - ")</f>
        <v xml:space="preserve"> - </v>
      </c>
      <c r="BG10" s="246">
        <f>IF(ISNUMBER(Datos!K10/Datos!J10),Datos!K10/Datos!J10," - ")</f>
        <v>0.47222222222222221</v>
      </c>
      <c r="BH10" s="263">
        <f>IF(ISNUMBER(((Datos!L10/Datos!K10)*11)/factor_trimestre),((Datos!L10/Datos!K10)*11)/factor_trimestre," - ")</f>
        <v>29.47058823529412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-0.17948717948717949</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5</v>
      </c>
      <c r="F13" s="901">
        <f t="shared" si="0"/>
        <v>148</v>
      </c>
      <c r="G13" s="901">
        <f t="shared" si="0"/>
        <v>185</v>
      </c>
      <c r="H13" s="902">
        <f t="shared" si="0"/>
        <v>0</v>
      </c>
      <c r="I13" s="901">
        <f t="shared" si="0"/>
        <v>0</v>
      </c>
      <c r="J13" s="870">
        <f t="shared" si="0"/>
        <v>0</v>
      </c>
      <c r="K13" s="870">
        <f t="shared" si="0"/>
        <v>0</v>
      </c>
      <c r="L13" s="902">
        <f t="shared" si="0"/>
        <v>0</v>
      </c>
      <c r="M13" s="902">
        <f t="shared" si="0"/>
        <v>0</v>
      </c>
      <c r="N13" s="902">
        <f t="shared" si="0"/>
        <v>112</v>
      </c>
      <c r="O13" s="903">
        <f t="shared" si="0"/>
        <v>0</v>
      </c>
      <c r="P13" s="903">
        <f t="shared" si="0"/>
        <v>0</v>
      </c>
      <c r="Q13" s="902">
        <f t="shared" si="0"/>
        <v>355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17</v>
      </c>
      <c r="AC13" s="902">
        <f t="shared" si="1"/>
        <v>166</v>
      </c>
      <c r="AD13" s="902">
        <f t="shared" si="1"/>
        <v>0</v>
      </c>
      <c r="AE13" s="902">
        <f t="shared" si="1"/>
        <v>0</v>
      </c>
      <c r="AF13" s="902">
        <f t="shared" si="1"/>
        <v>167</v>
      </c>
      <c r="AG13" s="902">
        <f t="shared" si="1"/>
        <v>0</v>
      </c>
      <c r="AH13" s="902">
        <f t="shared" si="1"/>
        <v>135</v>
      </c>
      <c r="AI13" s="902">
        <f t="shared" si="1"/>
        <v>0</v>
      </c>
      <c r="AJ13" s="902">
        <f t="shared" si="1"/>
        <v>0</v>
      </c>
      <c r="AK13" s="902">
        <f t="shared" si="1"/>
        <v>0</v>
      </c>
      <c r="AL13" s="902">
        <f t="shared" si="1"/>
        <v>0</v>
      </c>
      <c r="AM13" s="902">
        <f t="shared" si="1"/>
        <v>6661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404</v>
      </c>
      <c r="BD13" s="902">
        <f t="shared" si="1"/>
        <v>600</v>
      </c>
      <c r="BE13" s="902">
        <f t="shared" si="1"/>
        <v>0</v>
      </c>
      <c r="BF13" s="902">
        <f t="shared" si="1"/>
        <v>0</v>
      </c>
      <c r="BG13" s="902">
        <f>IF(ISNUMBER(Datos!K13/Datos!J13),Datos!K13/Datos!J13," - ")</f>
        <v>0.83274021352313166</v>
      </c>
      <c r="BH13" s="906">
        <f>IF(ISNUMBER(((Datos!L13/Datos!K13)*11)/factor_trimestre),((Datos!L13/Datos!K13)*11)/factor_trimestre," - ")</f>
        <v>10.452991452991453</v>
      </c>
      <c r="BI13" s="902">
        <f>IF(ISNUMBER('Resol  Asuntos'!D13/NºAsuntos!G13),'Resol  Asuntos'!D13/NºAsuntos!G13," - ")</f>
        <v>0.2700534759358289</v>
      </c>
      <c r="BJ13" s="902" t="str">
        <f>IF(ISNUMBER(Datos!CI13/Datos!CJ13),Datos!CI13/Datos!CJ13," - ")</f>
        <v xml:space="preserve"> - </v>
      </c>
      <c r="BK13" s="902">
        <f>SUBTOTAL(9,BK8:BK12)</f>
        <v>0</v>
      </c>
      <c r="BL13" s="902">
        <f>IF(ISNUMBER((I13-AB13+L13)/(F13)),(I13-AB13+L13)/(F13)," - ")</f>
        <v>-0.11486486486486487</v>
      </c>
      <c r="BM13" s="907">
        <f>SUBTOTAL(9,BM9:BM12)</f>
        <v>-0.14773866525508689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3</v>
      </c>
      <c r="B15" s="597" t="s">
        <v>400</v>
      </c>
      <c r="C15" s="603" t="str">
        <f>Datos!A15</f>
        <v xml:space="preserve">Jdos. Instrucción                               </v>
      </c>
      <c r="D15" s="604"/>
      <c r="E15" s="1168">
        <f>IF(ISNUMBER(Datos!AQ15),Datos!AQ15," - ")</f>
        <v>3</v>
      </c>
      <c r="F15" s="598">
        <f>IF(ISNUMBER(AF15+AB15-Datos!J15-L15),AF15+AB15-Datos!J15-L15," - ")</f>
        <v>1784</v>
      </c>
      <c r="G15" s="601">
        <f>IF(ISNUMBER(IF(D_I="SI",Datos!I15,Datos!I15+Datos!AC15)),IF(D_I="SI",Datos!I15,Datos!I15+Datos!AC15)," - ")</f>
        <v>1761</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17</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2011</v>
      </c>
      <c r="AC15" s="229">
        <f>IF(ISNUMBER(Datos!Q15),Datos!Q15," - ")</f>
        <v>15</v>
      </c>
      <c r="AD15" s="337"/>
      <c r="AE15" s="487"/>
      <c r="AF15" s="599">
        <f>IF(ISNUMBER(IF(D_I="SI",Datos!L15,Datos!L15+Datos!AF15)),IF(D_I="SI",Datos!L15,Datos!L15+Datos!AF15)," - ")</f>
        <v>2076</v>
      </c>
      <c r="AG15" s="337"/>
      <c r="AH15" s="337"/>
      <c r="AI15" s="337"/>
      <c r="AJ15" s="337"/>
      <c r="AK15" s="337"/>
      <c r="AL15" s="482"/>
      <c r="AM15" s="338">
        <f>IF(ISNUMBER(Datos!R15),Datos!R15," - ")</f>
        <v>169</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139</v>
      </c>
      <c r="BD15" s="232">
        <f>IF(ISNUMBER(Datos!N15),Datos!N15," - ")</f>
        <v>1297</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0.87320885801128967</v>
      </c>
      <c r="BH15" s="263">
        <f>IF(ISNUMBER(((IF(D_I="SI",Datos!L15/Datos!K15,(Datos!L15+Datos!AF15)/(Datos!K15+Datos!AE15)))*11)/factor_trimestre),((IF(D_I="SI",Datos!L15/Datos!K15,(Datos!L15+Datos!AF15)/(Datos!K15+Datos!AE15)))*11)/factor_trimestre," - ")</f>
        <v>3.0969666832421683</v>
      </c>
      <c r="BI15" s="246">
        <f>IF(ISNUMBER('Resol  Asuntos'!D15/NºAsuntos!G15),'Resol  Asuntos'!D15/NºAsuntos!G15," - ")</f>
        <v>6.9119840875186481E-2</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182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321</v>
      </c>
      <c r="AC17" s="229">
        <f>IF(ISNUMBER(Datos!Q17),Datos!Q17," - ")</f>
        <v>17</v>
      </c>
      <c r="AD17" s="337"/>
      <c r="AE17" s="487"/>
      <c r="AF17" s="335">
        <f>IF(ISNUMBER(Datos!L17),Datos!L17,"-")</f>
        <v>166</v>
      </c>
      <c r="AG17" s="337"/>
      <c r="AH17" s="337"/>
      <c r="AI17" s="337"/>
      <c r="AJ17" s="337"/>
      <c r="AK17" s="337"/>
      <c r="AL17" s="482"/>
      <c r="AM17" s="338">
        <f>IF(ISNUMBER(Datos!R17),Datos!R17," - ")</f>
        <v>31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44</v>
      </c>
      <c r="BD17" s="232">
        <f>IF(ISNUMBER(Datos!N17),Datos!N17," - ")</f>
        <v>230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1.0524590163934426</v>
      </c>
      <c r="BH17" s="263">
        <f>IF(ISNUMBER(((IF(D_I="SI",Datos!L17/Datos!K17,(Datos!L17+Datos!AF17)/(Datos!K17+Datos!AE17)))*11)/factor_trimestre),((IF(D_I="SI",Datos!L17/Datos!K17,(Datos!L17+Datos!AF17)/(Datos!K17+Datos!AE17)))*11)/factor_trimestre," - ")</f>
        <v>1.5514018691588785</v>
      </c>
      <c r="BI17" s="246">
        <f>IF(ISNUMBER('Resol  Asuntos'!D17/NºAsuntos!G17),'Resol  Asuntos'!D17/NºAsuntos!G17," - ")</f>
        <v>0.13707165109034267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1784</v>
      </c>
      <c r="G18" s="901">
        <f>SUBTOTAL(9,G15:G17)</f>
        <v>1943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2332</v>
      </c>
      <c r="AC18" s="902">
        <f t="shared" si="4"/>
        <v>32</v>
      </c>
      <c r="AD18" s="902">
        <f t="shared" si="4"/>
        <v>0</v>
      </c>
      <c r="AE18" s="902">
        <f t="shared" si="4"/>
        <v>0</v>
      </c>
      <c r="AF18" s="902">
        <f t="shared" si="4"/>
        <v>2242</v>
      </c>
      <c r="AG18" s="902">
        <f t="shared" si="4"/>
        <v>0</v>
      </c>
      <c r="AH18" s="902">
        <f t="shared" si="4"/>
        <v>0</v>
      </c>
      <c r="AI18" s="902">
        <f t="shared" si="4"/>
        <v>0</v>
      </c>
      <c r="AJ18" s="902">
        <f t="shared" si="4"/>
        <v>0</v>
      </c>
      <c r="AK18" s="902">
        <f t="shared" si="4"/>
        <v>0</v>
      </c>
      <c r="AL18" s="902">
        <f t="shared" si="4"/>
        <v>0</v>
      </c>
      <c r="AM18" s="902">
        <f t="shared" si="4"/>
        <v>200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183</v>
      </c>
      <c r="BD18" s="902">
        <f t="shared" si="4"/>
        <v>1527</v>
      </c>
      <c r="BE18" s="902">
        <f t="shared" si="4"/>
        <v>0</v>
      </c>
      <c r="BF18" s="902">
        <f t="shared" si="4"/>
        <v>0</v>
      </c>
      <c r="BG18" s="902">
        <f>IF(ISNUMBER(Datos!K18/Datos!J18),Datos!K18/Datos!J18," - ")</f>
        <v>0.89417177914110424</v>
      </c>
      <c r="BH18" s="906">
        <f>IF(ISNUMBER(((Datos!L18/Datos!K18)*11)/factor_trimestre),((Datos!L18/Datos!K18)*11)/factor_trimestre," - ")</f>
        <v>2.8842195540308753</v>
      </c>
      <c r="BI18" s="902">
        <f>SUBTOTAL(9,BI15:BI17)</f>
        <v>0.20619149196552916</v>
      </c>
      <c r="BJ18" s="902">
        <f>SUBTOTAL(9,BJ15:BJ17)</f>
        <v>0</v>
      </c>
      <c r="BK18" s="902">
        <f>SUBTOTAL(9,BK15:BK17)</f>
        <v>0</v>
      </c>
      <c r="BL18" s="902">
        <f>IF(ISNUMBER((I18-AB18+L18)/(F18)),(I18-AB18+L18)/(F18)," - ")</f>
        <v>-1.3071748878923768</v>
      </c>
      <c r="BM18" s="908">
        <f>IF(ISNUMBER((Datos!P18-Datos!Q18)/(Datos!R18-Datos!P18+Datos!Q18)),(Datos!P18-Datos!Q18)/(Datos!R18-Datos!P18+Datos!Q18)," - ")</f>
        <v>-5.2132701421800945E-2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8</v>
      </c>
      <c r="F19" s="823">
        <f t="shared" si="6"/>
        <v>1932</v>
      </c>
      <c r="G19" s="823">
        <f t="shared" si="6"/>
        <v>2128</v>
      </c>
      <c r="H19" s="825">
        <f t="shared" si="6"/>
        <v>0</v>
      </c>
      <c r="I19" s="823">
        <f t="shared" si="6"/>
        <v>0</v>
      </c>
      <c r="J19" s="825">
        <f t="shared" si="6"/>
        <v>0</v>
      </c>
      <c r="K19" s="825">
        <f t="shared" si="6"/>
        <v>0</v>
      </c>
      <c r="L19" s="884">
        <f t="shared" si="6"/>
        <v>0</v>
      </c>
      <c r="M19" s="884">
        <f t="shared" si="6"/>
        <v>0</v>
      </c>
      <c r="N19" s="884">
        <f t="shared" si="6"/>
        <v>112</v>
      </c>
      <c r="O19" s="884">
        <f t="shared" si="6"/>
        <v>0</v>
      </c>
      <c r="P19" s="884">
        <f t="shared" si="6"/>
        <v>0</v>
      </c>
      <c r="Q19" s="825">
        <f t="shared" si="6"/>
        <v>376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2349</v>
      </c>
      <c r="AC19" s="824">
        <f t="shared" si="7"/>
        <v>198</v>
      </c>
      <c r="AD19" s="824">
        <f t="shared" si="7"/>
        <v>0</v>
      </c>
      <c r="AE19" s="824">
        <f t="shared" si="7"/>
        <v>0</v>
      </c>
      <c r="AF19" s="831">
        <f t="shared" si="7"/>
        <v>2409</v>
      </c>
      <c r="AG19" s="831">
        <f t="shared" si="7"/>
        <v>0</v>
      </c>
      <c r="AH19" s="831">
        <f t="shared" si="7"/>
        <v>135</v>
      </c>
      <c r="AI19" s="831">
        <f t="shared" si="7"/>
        <v>0</v>
      </c>
      <c r="AJ19" s="824">
        <f t="shared" si="7"/>
        <v>0</v>
      </c>
      <c r="AK19" s="831">
        <f t="shared" si="7"/>
        <v>0</v>
      </c>
      <c r="AL19" s="831">
        <f t="shared" si="7"/>
        <v>0</v>
      </c>
      <c r="AM19" s="831">
        <f t="shared" si="7"/>
        <v>6861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587</v>
      </c>
      <c r="BD19" s="823">
        <f t="shared" si="7"/>
        <v>2127</v>
      </c>
      <c r="BE19" s="823">
        <f t="shared" si="7"/>
        <v>0</v>
      </c>
      <c r="BF19" s="833">
        <f t="shared" si="7"/>
        <v>0</v>
      </c>
      <c r="BG19" s="918">
        <f>IF(ISNUMBER(Datos!K19/Datos!J19),Datos!K19/Datos!J19," - ")</f>
        <v>0.87005123428039122</v>
      </c>
      <c r="BH19" s="918">
        <f>IF(ISNUMBER(((Datos!L19/Datos!K19)*11)/factor_trimestre),((Datos!L19/Datos!K19)*11)/factor_trimestre," - ")</f>
        <v>5.7285867237687365</v>
      </c>
      <c r="BI19" s="816">
        <f>IF(ISNUMBER(Datos!J19/Datos!I19),Datos!J19/Datos!I19," - ")</f>
        <v>0.65159332321699548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-1.2158385093167703</v>
      </c>
      <c r="BM19" s="892">
        <f>IF(ISNUMBER((Datos!P19-Datos!Q19+R19)/(Datos!R19-Datos!P19+Datos!Q19-R19)),(Datos!P19-Datos!Q19+R19)/(Datos!R19-Datos!P19+Datos!Q19-R19)," - ")</f>
        <v>2.6634744875056113E-2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851.2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2.2236106773543889</v>
      </c>
      <c r="F21" s="554">
        <f>IF(ISNUMBER(STDEV(F8:F18)),STDEV(F8:F18),"-")</f>
        <v>944.54504039422773</v>
      </c>
      <c r="G21" s="555">
        <f>IF(ISNUMBER(STDEV(G8:G18)),STDEV(G8:G18),"-")</f>
        <v>915.86527393498216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1137.0711499286226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170.36979387986202</v>
      </c>
      <c r="BD21" s="554"/>
      <c r="BE21" s="554">
        <f>IF(ISNUMBER(STDEV(BE8:BE18)),STDEV(BE8:BE18),"-")</f>
        <v>0</v>
      </c>
      <c r="BF21" s="559">
        <f>IF(ISNUMBER(STDEV(BF8:BF18)),STDEV(BF8:BF18),"-")</f>
        <v>0</v>
      </c>
      <c r="BG21" s="778">
        <f>IF(ISNUMBER(STDEV(BG8:BG18)),STDEV(BG8:BG18),"-")</f>
        <v>0.1915891107193603</v>
      </c>
      <c r="BH21" s="779">
        <f>IF(ISNUMBER(STDEV(BH8:BH18)),STDEV(BH8:BH18),"-")</f>
        <v>10.46701396950691</v>
      </c>
      <c r="BI21" s="252">
        <f>IF(ISNUMBER(STDEV(BI8:BI18)),STDEV(BI8:BI18),"-")</f>
        <v>8.6756595753724547E-2</v>
      </c>
      <c r="BJ21" s="233" t="str">
        <f>IF(ISNUMBER(BL21/BM21),BL21/BM21," - ")</f>
        <v xml:space="preserve"> - </v>
      </c>
      <c r="BK21" s="578"/>
      <c r="BL21" s="562">
        <f>IF(ISNUMBER(STDEV(BL8:BL18)),STDEV(BL8:BL18),"-")</f>
        <v>0.84309050255944229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J9vxMc/rP5IqIq1j7/mQ9nwqPxmYhsKzaUmAofsaRrp9PpGfvMqh7Hmj1qTUOVaQYUmSj/wZfKpl4VBBj4O3/g==" saltValue="f0jEcRp23ICN4+tgYDvEO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ISLAS BALEARES</v>
      </c>
    </row>
    <row r="2" spans="1:73" ht="16.5" customHeight="1">
      <c r="C2" s="531" t="str">
        <f>Criterios!A10 &amp;"  "&amp;Criterios!B10 &amp; "  " &amp; IF(NOT(ISBLANK(Criterios!A11)),Criterios!A11 &amp;"  "&amp;Criterios!B11,"")</f>
        <v>Provincias  ILLES BALEARS  Resumenes por Partidos Judiciales  MANACOR</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350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147</v>
      </c>
      <c r="AA9" s="335" t="str">
        <f>IF(ISNUMBER(IF(J_V="SI",Datos!L9,Datos!L9+Datos!AB9)-IF(Monitorios="SI",Datos!CD9,0)),
                          IF(J_V="SI",Datos!L9,Datos!L9+Datos!AB9)-IF(Monitorios="SI",Datos!CD9,0),
                          " - ")</f>
        <v xml:space="preserve"> - </v>
      </c>
      <c r="AB9" s="337"/>
      <c r="AC9" s="337"/>
      <c r="AD9" s="487"/>
      <c r="AE9" s="487">
        <f>IF(ISNUMBER(Datos!R9),Datos!R9," - ")</f>
        <v>6597</v>
      </c>
      <c r="AF9" s="232" t="str">
        <f>IF(ISNUMBER(Datos!BV9),Datos!BV9," - ")</f>
        <v xml:space="preserve"> - </v>
      </c>
      <c r="AG9" s="228" t="str">
        <f>IF(ISNUMBER(Datos!DV9),Datos!DV9," - ")</f>
        <v xml:space="preserve"> - </v>
      </c>
      <c r="AH9" s="301"/>
      <c r="AI9" s="230"/>
      <c r="AJ9" s="228">
        <f>IF(ISNUMBER(Datos!M9),Datos!M9," - ")</f>
        <v>396</v>
      </c>
      <c r="AK9" s="232">
        <f>IF(ISNUMBER(Datos!N9),Datos!N9," - ")</f>
        <v>595</v>
      </c>
      <c r="AL9" s="232" t="str">
        <f>IF(ISNUMBER(Datos!BW9),Datos!BW9," - ")</f>
        <v xml:space="preserve"> - </v>
      </c>
      <c r="AM9" s="231" t="str">
        <f>IF(ISNUMBER(Datos!BX9),Datos!BX9," - ")</f>
        <v xml:space="preserve"> - </v>
      </c>
      <c r="AN9" s="246"/>
      <c r="AO9" s="263">
        <f>IF(ISNUMBER(((NºAsuntos!I9/NºAsuntos!G9)*11)/factor_trimestre),((NºAsuntos!I9/NºAsuntos!G9)*11)/factor_trimestre," - ")</f>
        <v>9.8580121703853969</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3.1748514232092587E-2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148</v>
      </c>
      <c r="G10" s="228">
        <f>IF(ISNUMBER(Datos!I10),Datos!I10," - ")</f>
        <v>185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5</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17</v>
      </c>
      <c r="Z10" s="622">
        <f>IF(ISNUMBER(Datos!Q10),Datos!Q10," - ")</f>
        <v>19</v>
      </c>
      <c r="AA10" s="335">
        <f>IF(ISNUMBER(Datos!L10),Datos!L10,"-")</f>
        <v>167</v>
      </c>
      <c r="AB10" s="337"/>
      <c r="AC10" s="337"/>
      <c r="AD10" s="487"/>
      <c r="AE10" s="487">
        <f>IF(ISNUMBER(Datos!R10),Datos!R10," - ")</f>
        <v>64</v>
      </c>
      <c r="AF10" s="232" t="str">
        <f>IF(ISNUMBER(Datos!BV10),Datos!BV10," - ")</f>
        <v xml:space="preserve"> - </v>
      </c>
      <c r="AG10" s="228" t="str">
        <f>IF(ISNUMBER(Datos!DV10),Datos!DV10," - ")</f>
        <v xml:space="preserve"> - </v>
      </c>
      <c r="AH10" s="301"/>
      <c r="AI10" s="230"/>
      <c r="AJ10" s="228">
        <f>IF(ISNUMBER(Datos!M10),Datos!M10," - ")</f>
        <v>8</v>
      </c>
      <c r="AK10" s="232">
        <f>IF(ISNUMBER(Datos!N10),Datos!N10," - ")</f>
        <v>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29.47058823529412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-0.17948717948717949</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5</v>
      </c>
      <c r="F13" s="901">
        <f>SUBTOTAL(9,F8:F12)</f>
        <v>148</v>
      </c>
      <c r="G13" s="901">
        <f>SUBTOTAL(9,G8:G12)</f>
        <v>185</v>
      </c>
      <c r="H13" s="911"/>
      <c r="I13" s="901">
        <f t="shared" ref="I13:N13" si="0">SUBTOTAL(9,I8:I12)</f>
        <v>0</v>
      </c>
      <c r="J13" s="870">
        <f t="shared" si="0"/>
        <v>0</v>
      </c>
      <c r="K13" s="911">
        <f t="shared" si="0"/>
        <v>0</v>
      </c>
      <c r="L13" s="911">
        <f t="shared" si="0"/>
        <v>0</v>
      </c>
      <c r="M13" s="911">
        <f t="shared" si="0"/>
        <v>0</v>
      </c>
      <c r="N13" s="911">
        <f t="shared" si="0"/>
        <v>355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17</v>
      </c>
      <c r="Z13" s="910">
        <f t="shared" si="2"/>
        <v>166</v>
      </c>
      <c r="AA13" s="903">
        <f t="shared" si="2"/>
        <v>167</v>
      </c>
      <c r="AB13" s="903">
        <f t="shared" si="2"/>
        <v>0</v>
      </c>
      <c r="AC13" s="903">
        <f t="shared" si="2"/>
        <v>0</v>
      </c>
      <c r="AD13" s="903">
        <f t="shared" si="2"/>
        <v>0</v>
      </c>
      <c r="AE13" s="903">
        <f t="shared" si="2"/>
        <v>6661</v>
      </c>
      <c r="AF13" s="911">
        <f t="shared" si="2"/>
        <v>0</v>
      </c>
      <c r="AG13" s="911">
        <f t="shared" si="2"/>
        <v>0</v>
      </c>
      <c r="AH13" s="911">
        <f t="shared" si="2"/>
        <v>0</v>
      </c>
      <c r="AI13" s="911">
        <f t="shared" si="2"/>
        <v>0</v>
      </c>
      <c r="AJ13" s="911">
        <f t="shared" si="2"/>
        <v>404</v>
      </c>
      <c r="AK13" s="911">
        <f t="shared" si="2"/>
        <v>600</v>
      </c>
      <c r="AL13" s="911">
        <f t="shared" si="2"/>
        <v>0</v>
      </c>
      <c r="AM13" s="911">
        <f t="shared" si="2"/>
        <v>0</v>
      </c>
      <c r="AN13" s="911">
        <f t="shared" si="2"/>
        <v>0</v>
      </c>
      <c r="AO13" s="907">
        <f>IF(ISNUMBER(((NºAsuntos!I13/NºAsuntos!G13)*11)/factor_trimestre),((NºAsuntos!I13/NºAsuntos!G13)*11)/factor_trimestre," - ")</f>
        <v>10.080882352941176</v>
      </c>
      <c r="AP13" s="913" t="str">
        <f>IF(ISNUMBER(Datos!CI13/Datos!CJ13),Datos!CI13/Datos!CJ13," - ")</f>
        <v xml:space="preserve"> - </v>
      </c>
      <c r="AQ13" s="931">
        <f t="shared" ref="AQ13:AV13" si="3">SUBTOTAL(9,AQ9:AQ12)</f>
        <v>0</v>
      </c>
      <c r="AR13" s="931">
        <f t="shared" si="3"/>
        <v>-0.14773866525508689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3</v>
      </c>
      <c r="B15" s="510" t="s">
        <v>400</v>
      </c>
      <c r="C15" s="163" t="str">
        <f>Datos!A15</f>
        <v xml:space="preserve">Jdos. Instrucción                               </v>
      </c>
      <c r="D15" s="505"/>
      <c r="E15" s="1171">
        <f>IF(ISNUMBER(Datos!AQ15),Datos!AQ15," - ")</f>
        <v>3</v>
      </c>
      <c r="F15" s="336">
        <f>IF(ISNUMBER(AA15+Y15-Datos!J15-K15),AA15+Y15-Datos!J15-K15," - ")</f>
        <v>1784</v>
      </c>
      <c r="G15" s="228">
        <f>IF(ISNUMBER(IF(D_I="SI",Datos!I15,Datos!I15+Datos!AC15)),IF(D_I="SI",Datos!I15,Datos!I15+Datos!AC15)," - ")</f>
        <v>1761</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17</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2011</v>
      </c>
      <c r="Z15" s="622">
        <f>IF(ISNUMBER(Datos!Q15),Datos!Q15," - ")</f>
        <v>15</v>
      </c>
      <c r="AA15" s="335">
        <f>IF(ISNUMBER(IF(D_I="SI",Datos!L15,Datos!L15+Datos!AF15)),IF(D_I="SI",Datos!L15,Datos!L15+Datos!AF15)," - ")</f>
        <v>2076</v>
      </c>
      <c r="AB15" s="337"/>
      <c r="AC15" s="337"/>
      <c r="AD15" s="487"/>
      <c r="AE15" s="487">
        <f>IF(ISNUMBER(Datos!R15),Datos!R15," - ")</f>
        <v>169</v>
      </c>
      <c r="AF15" s="232" t="str">
        <f>IF(ISNUMBER(Datos!BV15),Datos!BV15," - ")</f>
        <v xml:space="preserve"> - </v>
      </c>
      <c r="AG15" s="228"/>
      <c r="AH15" s="301"/>
      <c r="AI15" s="230"/>
      <c r="AJ15" s="228">
        <f>IF(ISNUMBER(Datos!M15),Datos!M15," - ")</f>
        <v>139</v>
      </c>
      <c r="AK15" s="232">
        <f>IF(ISNUMBER(Datos!N15),Datos!N15," - ")</f>
        <v>1297</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3.0969666832421683</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182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321</v>
      </c>
      <c r="Z17" s="622">
        <f>IF(ISNUMBER(Datos!Q17),Datos!Q17," - ")</f>
        <v>17</v>
      </c>
      <c r="AA17" s="335">
        <f>IF(ISNUMBER(Datos!L17),Datos!L17,"-")</f>
        <v>166</v>
      </c>
      <c r="AB17" s="337"/>
      <c r="AC17" s="337"/>
      <c r="AD17" s="487"/>
      <c r="AE17" s="487">
        <f>IF(ISNUMBER(Datos!R17),Datos!R17," - ")</f>
        <v>31</v>
      </c>
      <c r="AF17" s="232" t="str">
        <f>IF(ISNUMBER(Datos!BV17),Datos!BV17," - ")</f>
        <v xml:space="preserve"> - </v>
      </c>
      <c r="AG17" s="228" t="str">
        <f>IF(ISNUMBER(Datos!DV17),Datos!DV17," - ")</f>
        <v xml:space="preserve"> - </v>
      </c>
      <c r="AH17" s="301"/>
      <c r="AI17" s="230"/>
      <c r="AJ17" s="228">
        <f>IF(ISNUMBER(Datos!M17),Datos!M17," - ")</f>
        <v>44</v>
      </c>
      <c r="AK17" s="232">
        <f>IF(ISNUMBER(Datos!N17),Datos!N17," - ")</f>
        <v>230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1.5514018691588785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1784</v>
      </c>
      <c r="G18" s="901">
        <f>SUBTOTAL(9,G15:G17)</f>
        <v>1943</v>
      </c>
      <c r="H18" s="935">
        <f>SUBTOTAL(9,H15:H17)</f>
        <v>0</v>
      </c>
      <c r="I18" s="914">
        <f>SUBTOTAL(9,I15:I17)</f>
        <v>0</v>
      </c>
      <c r="J18" s="870">
        <f>SUBTOTAL(9,J14:J17)</f>
        <v>0</v>
      </c>
      <c r="K18" s="935">
        <f t="shared" ref="K18:S18" si="4">SUBTOTAL(9,K15:K17)</f>
        <v>0</v>
      </c>
      <c r="L18" s="935">
        <f t="shared" si="4"/>
        <v>0</v>
      </c>
      <c r="M18" s="935">
        <f t="shared" si="4"/>
        <v>0</v>
      </c>
      <c r="N18" s="935">
        <f t="shared" si="4"/>
        <v>21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2332</v>
      </c>
      <c r="Z18" s="935">
        <f t="shared" si="5"/>
        <v>32</v>
      </c>
      <c r="AA18" s="935">
        <f t="shared" si="5"/>
        <v>2242</v>
      </c>
      <c r="AB18" s="935">
        <f t="shared" si="5"/>
        <v>0</v>
      </c>
      <c r="AC18" s="935">
        <f t="shared" si="5"/>
        <v>0</v>
      </c>
      <c r="AD18" s="935">
        <f t="shared" si="5"/>
        <v>0</v>
      </c>
      <c r="AE18" s="935">
        <f t="shared" si="5"/>
        <v>200</v>
      </c>
      <c r="AF18" s="935">
        <f t="shared" si="5"/>
        <v>0</v>
      </c>
      <c r="AG18" s="935">
        <f t="shared" si="5"/>
        <v>0</v>
      </c>
      <c r="AH18" s="935">
        <f t="shared" si="5"/>
        <v>0</v>
      </c>
      <c r="AI18" s="935">
        <f t="shared" si="5"/>
        <v>0</v>
      </c>
      <c r="AJ18" s="935">
        <f t="shared" si="5"/>
        <v>183</v>
      </c>
      <c r="AK18" s="935">
        <f t="shared" si="5"/>
        <v>1527</v>
      </c>
      <c r="AL18" s="935">
        <f t="shared" si="5"/>
        <v>0</v>
      </c>
      <c r="AM18" s="935">
        <f t="shared" si="5"/>
        <v>0</v>
      </c>
      <c r="AN18" s="935">
        <f t="shared" si="5"/>
        <v>0</v>
      </c>
      <c r="AO18" s="937">
        <f>IF(ISNUMBER(((NºAsuntos!I18/NºAsuntos!G18)*11)/factor_trimestre),((NºAsuntos!I18/NºAsuntos!G18)*11)/factor_trimestre," - ")</f>
        <v>2.8842195540308753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1932</v>
      </c>
      <c r="G19" s="823">
        <f t="shared" si="7"/>
        <v>2128</v>
      </c>
      <c r="H19" s="824">
        <f t="shared" si="7"/>
        <v>0</v>
      </c>
      <c r="I19" s="823">
        <f t="shared" si="7"/>
        <v>0</v>
      </c>
      <c r="J19" s="825">
        <f t="shared" si="7"/>
        <v>0</v>
      </c>
      <c r="K19" s="823">
        <f t="shared" si="7"/>
        <v>0</v>
      </c>
      <c r="L19" s="826">
        <f t="shared" si="7"/>
        <v>0</v>
      </c>
      <c r="M19" s="823">
        <f t="shared" si="7"/>
        <v>0</v>
      </c>
      <c r="N19" s="824">
        <f t="shared" si="7"/>
        <v>376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2349</v>
      </c>
      <c r="Z19" s="830">
        <f t="shared" si="8"/>
        <v>198</v>
      </c>
      <c r="AA19" s="831">
        <f t="shared" si="8"/>
        <v>2409</v>
      </c>
      <c r="AB19" s="831">
        <f t="shared" si="8"/>
        <v>0</v>
      </c>
      <c r="AC19" s="831">
        <f t="shared" si="8"/>
        <v>0</v>
      </c>
      <c r="AD19" s="832">
        <f t="shared" si="8"/>
        <v>0</v>
      </c>
      <c r="AE19" s="832">
        <f t="shared" si="8"/>
        <v>6861</v>
      </c>
      <c r="AF19" s="833">
        <f t="shared" si="8"/>
        <v>0</v>
      </c>
      <c r="AG19" s="834">
        <f t="shared" si="8"/>
        <v>0</v>
      </c>
      <c r="AH19" s="835">
        <f t="shared" si="8"/>
        <v>0</v>
      </c>
      <c r="AI19" s="833">
        <f t="shared" si="8"/>
        <v>0</v>
      </c>
      <c r="AJ19" s="823">
        <f t="shared" si="8"/>
        <v>587</v>
      </c>
      <c r="AK19" s="823">
        <f t="shared" si="8"/>
        <v>2127</v>
      </c>
      <c r="AL19" s="823">
        <f t="shared" si="8"/>
        <v>0</v>
      </c>
      <c r="AM19" s="836">
        <f t="shared" si="8"/>
        <v>0</v>
      </c>
      <c r="AN19" s="826">
        <f>IF(ISNUMBER(Datos!K19/Datos!J19),Datos!K19/Datos!J19," - ")</f>
        <v>0.87005123428039122</v>
      </c>
      <c r="AO19" s="826">
        <f>IF(ISNUMBER(FIND("06",Criterios!A8,1)),(IF(ISNUMBER(((Datos!R19/Datos!Q19)*11)/factor_trimestre),((Datos!R19/Datos!Q19)*11)/factor_trimestre," - ")),(IF(ISNUMBER(((Datos!L19/Datos!K19)*11)/factor_trimestre),((Datos!L19/Datos!K19)*11)/factor_trimestre," - ")))</f>
        <v>5.7285867237687365</v>
      </c>
      <c r="AP19" s="837" t="str">
        <f>IF(ISNUMBER(Datos!CI19/Datos!CJ19),Datos!CI19/Datos!CJ19," - ")</f>
        <v xml:space="preserve"> - </v>
      </c>
      <c r="AQ19" s="837">
        <f>IF(OR(ISNUMBER(FIND("01",Criterios!A8,1)),ISNUMBER(FIND("02",Criterios!A8,1)),ISNUMBER(FIND("03",Criterios!A8,1)),ISNUMBER(FIND("04",Criterios!A8,1))),(J19-Y19+K19)/(F19-K19),(I19-Y19+K19)/(F19-K19))</f>
        <v>-1.2158385093167703</v>
      </c>
      <c r="AR19" s="837">
        <f>IF(ISNUMBER((Datos!P19-Datos!Q19+O19)/(Datos!R19-Datos!P19+Datos!Q19-O19)),(Datos!P19-Datos!Q19+O19)/(Datos!R19-Datos!P19+Datos!Q19-O19)," - ")</f>
        <v>2.6634744875056113E-2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851.2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944.54504039422773</v>
      </c>
      <c r="G21" s="555">
        <f>IF(ISNUMBER(STDEV(G8:G18)),STDEV(G8:G18),"-")</f>
        <v>915.86527393498216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170.36979387986202</v>
      </c>
      <c r="AK21" s="255"/>
      <c r="AL21" s="255">
        <f>IF(ISNUMBER(STDEV(AL8:AL18)),STDEV(AL8:AL18),"-")</f>
        <v>0</v>
      </c>
      <c r="AM21" s="257">
        <f>IF(ISNUMBER(STDEV(AM8:AM18)),STDEV(AM8:AM18),"-")</f>
        <v>0</v>
      </c>
      <c r="AN21" s="542">
        <f>IF(ISNUMBER(STDEV(AN8:AN18)),STDEV(AN8:AN18),"-")</f>
        <v>0</v>
      </c>
      <c r="AO21" s="543">
        <f>IF(ISNUMBER(STDEV(AO8:AO18)),STDEV(AO8:AO18),"-")</f>
        <v>10.461711437415142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rk+t9ywGPHv4MYO7QBbXFMvijLrh0OvykzXw2CcfN6qYNm3WaMkphLv7dZCH3g5rE8X4xkLKx6kCMgInPX7ZEQ==" saltValue="NOEkNzo8/7J6ctzZEycj5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n6e/VSTpUM5hfK3eJ+zFC/3C7LzzQ/Lk5Zyl2DDzU7T71aysA1BPZwv4h1NaGdFh5qla+5aYlCdnSCxL1vXf9w==" saltValue="+KnRJhdo2tdHfRy7A1PV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Sym1cM/9qgyOZPu4XJN6sHHPT31s1QE2qBcKqrMb+f7+ytBLC8jST0MNZI+1+t8DKjeH63qPjwKCrhJY3m67g==" saltValue="pqvErxZ1sSA6Pj97MXH79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ISLAS BALEARES</v>
      </c>
    </row>
    <row r="2" spans="1:75" ht="16.5" customHeight="1">
      <c r="C2" s="491" t="str">
        <f>Criterios!A10 &amp;"  "&amp;Criterios!B10 &amp; "  " &amp; IF(NOT(ISBLANK(Criterios!A11)),Criterios!A11 &amp;"  "&amp;Criterios!B11,"")</f>
        <v>Provincias  ILLES BALEARS  Resumenes por Partidos Judiciales  MANACOR</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0.2700534759358289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0.19095664411722274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qBTksl0t6mQmoeufiEpi9cccIZo4lp/xYwZeiqWpH9a6eS0E/1rdMtsTWhwGdAaAwC/kL6JWj04pW7V6afGJQ==" saltValue="MTK3spDbftnZnC0Yy5BE1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nnXYbtLemdkTANaOJe4INoocYK+7xtRzdlb7pI59OFKSz9nB+O+j5QzlQTBPAQrsR5WBNdKLVlE42wBbnkT+Uw==" saltValue="BS4ptZfP01lZr33aI17z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ISLAS BALEARES</v>
      </c>
      <c r="C2" s="378"/>
      <c r="D2" s="378"/>
      <c r="E2" s="378"/>
      <c r="F2" s="378"/>
    </row>
    <row r="3" spans="1:14" ht="19.5">
      <c r="A3" s="393" t="s">
        <v>115</v>
      </c>
      <c r="B3" s="394" t="str">
        <f>Criterios!A10 &amp;"  "&amp;Criterios!B10</f>
        <v>Provincias  ILLES BALEARS</v>
      </c>
      <c r="D3" s="378"/>
      <c r="E3" s="378"/>
      <c r="F3" s="378"/>
    </row>
    <row r="4" spans="1:14" ht="13.5" thickBot="1">
      <c r="A4" s="378"/>
      <c r="B4" s="394" t="str">
        <f>Criterios!A11 &amp;"  "&amp;Criterios!B11</f>
        <v>Resumenes por Partidos Judiciales  MANACOR</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4577</v>
      </c>
      <c r="D9" s="407">
        <f>IF(ISNUMBER(C9/Datos!BH9),C9/Datos!BH9," - ")</f>
        <v>915.4</v>
      </c>
      <c r="E9" s="406">
        <f>IF(ISNUMBER(IF(J_V="SI",Datos!J9,Datos!J9+Datos!Z9)),IF(J_V="SI",Datos!J9,Datos!J9+Datos!Z9)," - ")</f>
        <v>1762</v>
      </c>
      <c r="F9" s="407">
        <f>IF(ISNUMBER(E9/B9),E9/B9," - ")</f>
        <v>352.4</v>
      </c>
      <c r="G9" s="406">
        <f>IF(ISNUMBER(IF(J_V="SI",Datos!K9,Datos!K9+Datos!AA9)),IF(J_V="SI",Datos!K9,Datos!K9+Datos!AA9)," - ")</f>
        <v>1479</v>
      </c>
      <c r="H9" s="407">
        <f>IF(ISNUMBER(G9/B9),G9/B9," - ")</f>
        <v>295.8</v>
      </c>
      <c r="I9" s="406">
        <f>IF(ISNUMBER(IF(J_V="SI",Datos!L9,Datos!L9+Datos!AB9)),IF(J_V="SI",Datos!L9,Datos!L9+Datos!AB9)," - ")</f>
        <v>4860</v>
      </c>
      <c r="J9" s="407">
        <f>IF(ISNUMBER(I9/B9),I9/B9," - ")</f>
        <v>972</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185</v>
      </c>
      <c r="D10" s="407">
        <f>IF(ISNUMBER(C10/Datos!BH10),C10/Datos!BH10," - ")</f>
        <v>185</v>
      </c>
      <c r="E10" s="406">
        <f>IF(ISNUMBER(Datos!J10),Datos!J10," - ")</f>
        <v>36</v>
      </c>
      <c r="F10" s="407">
        <f>IF(ISNUMBER(E10/B10),E10/B10," - ")</f>
        <v>36</v>
      </c>
      <c r="G10" s="406">
        <f>IF(ISNUMBER(Datos!K10),Datos!K10," - ")</f>
        <v>17</v>
      </c>
      <c r="H10" s="407">
        <f>IF(ISNUMBER(G10/B10),G10/B10," - ")</f>
        <v>17</v>
      </c>
      <c r="I10" s="406">
        <f>IF(ISNUMBER(Datos!L10),Datos!L10," - ")</f>
        <v>167</v>
      </c>
      <c r="J10" s="407">
        <f>IF(ISNUMBER(I10/B10),I10/B10," - ")</f>
        <v>167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4762</v>
      </c>
      <c r="D13" s="853" t="str">
        <f>IF(ISNUMBER(C13/Datos!BI13),C13/Datos!BI13," - ")</f>
        <v xml:space="preserve"> - </v>
      </c>
      <c r="E13" s="852">
        <f>SUBTOTAL(9,E8:E12)</f>
        <v>1798</v>
      </c>
      <c r="F13" s="853">
        <f>IF(ISNUMBER(E13/B13),E13/B13," - ")</f>
        <v>359.6</v>
      </c>
      <c r="G13" s="852">
        <f>SUBTOTAL(9,G8:G12)</f>
        <v>1496</v>
      </c>
      <c r="H13" s="853">
        <f>IF(ISNUMBER(G13/B13),G13/B13," - ")</f>
        <v>299.2</v>
      </c>
      <c r="I13" s="852">
        <f>SUBTOTAL(9,I8:I12)</f>
        <v>5027</v>
      </c>
      <c r="J13" s="853">
        <f>IF(ISNUMBER(I13/B13),I13/B13," - ")</f>
        <v>1005.4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3</v>
      </c>
      <c r="C15" s="406">
        <f>IF(ISNUMBER(IF(D_I="SI",Datos!I15,Datos!I15+Datos!AC15)),IF(D_I="SI",Datos!I15,Datos!I15+Datos!AC15)," - ")</f>
        <v>1761</v>
      </c>
      <c r="D15" s="407">
        <f>IF(ISNUMBER(C15/Datos!BH15),C15/Datos!BH15," - ")</f>
        <v>587</v>
      </c>
      <c r="E15" s="406">
        <f>IF(ISNUMBER(IF(D_I="SI",Datos!J15,Datos!J15+Datos!AD15)),IF(D_I="SI",Datos!J15,Datos!J15+Datos!AD15)," - ")</f>
        <v>2303</v>
      </c>
      <c r="F15" s="407">
        <f>IF(ISNUMBER(E15/B15),E15/B15," - ")</f>
        <v>767.66666666666663</v>
      </c>
      <c r="G15" s="406">
        <f>IF(ISNUMBER(IF(D_I="SI",Datos!K15,Datos!K15+Datos!AE15)),IF(D_I="SI",Datos!K15,Datos!K15+Datos!AE15)," - ")</f>
        <v>2011</v>
      </c>
      <c r="H15" s="407">
        <f>IF(ISNUMBER(G15/B15),G15/B15," - ")</f>
        <v>670.33333333333337</v>
      </c>
      <c r="I15" s="406">
        <f>IF(ISNUMBER(IF(D_I="SI",Datos!L15,Datos!L15+Datos!AF15)),IF(D_I="SI",Datos!L15,Datos!L15+Datos!AF15)," - ")</f>
        <v>2076</v>
      </c>
      <c r="J15" s="407">
        <f>IF(ISNUMBER(I15/B15),I15/B15," - ")</f>
        <v>692</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182</v>
      </c>
      <c r="D17" s="407">
        <f>IF(ISNUMBER(C17/Datos!BH17),C17/Datos!BH17," - ")</f>
        <v>182</v>
      </c>
      <c r="E17" s="406">
        <f>IF(ISNUMBER(IF(D_I="SI",Datos!J17,Datos!J17+Datos!AD17)),IF(D_I="SI",Datos!J17,Datos!J17+Datos!AD17)," - ")</f>
        <v>305</v>
      </c>
      <c r="F17" s="407">
        <f>IF(ISNUMBER(E17/B17),E17/B17," - ")</f>
        <v>305</v>
      </c>
      <c r="G17" s="406">
        <f>IF(ISNUMBER(IF(D_I="SI",Datos!K17,Datos!K17+Datos!AE17)),IF(D_I="SI",Datos!K17,Datos!K17+Datos!AE17)," - ")</f>
        <v>321</v>
      </c>
      <c r="H17" s="407">
        <f>IF(ISNUMBER(G17/B17),G17/B17," - ")</f>
        <v>321</v>
      </c>
      <c r="I17" s="406">
        <f>IF(ISNUMBER(IF(D_I="SI",Datos!L17,Datos!L17+Datos!AF17)),IF(D_I="SI",Datos!L17,Datos!L17+Datos!AF17)," - ")</f>
        <v>166</v>
      </c>
      <c r="J17" s="407">
        <f>IF(ISNUMBER(I17/B17),I17/B17," - ")</f>
        <v>166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1943</v>
      </c>
      <c r="D18" s="853" t="str">
        <f>IF(ISNUMBER(C18/Datos!BI18),C18/Datos!BI18," - ")</f>
        <v xml:space="preserve"> - </v>
      </c>
      <c r="E18" s="852">
        <f>SUBTOTAL(9,E14:E17)</f>
        <v>2608</v>
      </c>
      <c r="F18" s="853">
        <f>IF(ISNUMBER(E18/B18),E18/B18," - ")</f>
        <v>869.33333333333337</v>
      </c>
      <c r="G18" s="852">
        <f>SUBTOTAL(9,G14:G17)</f>
        <v>2332</v>
      </c>
      <c r="H18" s="853">
        <f>IF(ISNUMBER(G18/B18),G18/B18," - ")</f>
        <v>777.33333333333337</v>
      </c>
      <c r="I18" s="852">
        <f>SUBTOTAL(9,I14:I17)</f>
        <v>2242</v>
      </c>
      <c r="J18" s="853">
        <f>IF(ISNUMBER(I18/B18),I18/B18," - ")</f>
        <v>747.33333333333337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8</v>
      </c>
      <c r="C19" s="797">
        <f>SUBTOTAL(9,C9:C18)</f>
        <v>6705</v>
      </c>
      <c r="D19" s="798" t="str">
        <f>IF(ISNUMBER(C19/Datos!BI19),C19/Datos!BI19," - ")</f>
        <v xml:space="preserve"> - </v>
      </c>
      <c r="E19" s="797">
        <f>SUBTOTAL(9,E9:E18)</f>
        <v>4406</v>
      </c>
      <c r="F19" s="798">
        <f>IF(ISNUMBER(E19/B19),E19/B19," - ")</f>
        <v>550.75</v>
      </c>
      <c r="G19" s="797">
        <f>SUBTOTAL(9,G9:G18)</f>
        <v>3828</v>
      </c>
      <c r="H19" s="798">
        <f>IF(ISNUMBER(G19/B19),G19/B19," - ")</f>
        <v>478.5</v>
      </c>
      <c r="I19" s="797">
        <f>SUBTOTAL(9,I9:I18)</f>
        <v>7269</v>
      </c>
      <c r="J19" s="798">
        <f>IF(ISNUMBER(I19/B19),I19/B19," - ")</f>
        <v>908.625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j1+INm510jTPddzUWiEKG58eZ4aDgxrP/9u/A7Re8/rJ6rQ/cNqHdEH/FAEaQGWkJhju4HBZya3NWXP1QSRfaw==" saltValue="Ojixgp0jur76cO9ay2fT8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ISLAS BALEARES</v>
      </c>
      <c r="W1"/>
      <c r="X1"/>
    </row>
    <row r="2" spans="1:65" ht="16.5" customHeight="1">
      <c r="C2" s="491" t="str">
        <f>Criterios!A10 &amp;"  "&amp;Criterios!B10 &amp; "  " &amp; IF(NOT(ISBLANK(Criterios!A11)),Criterios!A11 &amp;"  "&amp;Criterios!B11,"")</f>
        <v>Provincias  ILLES BALEARS  Resumenes por Partidos Judiciales  MANACOR</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249</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148</v>
      </c>
      <c r="G10" s="687">
        <f>IF(ISNUMBER(Datos!I10),Datos!I10," - ")</f>
        <v>185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5</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17</v>
      </c>
      <c r="AC10" s="686" t="str">
        <f>IF(ISNUMBER(IF(D_I="SI",DatosP!K17,DatosP!K17+DatosP!AE17)),IF(D_I="SI",DatosP!K17,DatosP!K17+DatosP!AE17)," - ")</f>
        <v xml:space="preserve"> - </v>
      </c>
      <c r="AD10" s="688"/>
      <c r="AE10" s="688"/>
      <c r="AF10" s="691">
        <f>IF(ISNUMBER(Datos!L10),Datos!L10,"-")</f>
        <v>167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8</v>
      </c>
      <c r="AM10" s="693">
        <f>IF(ISNUMBER(Datos!N10+DatosP!N17),Datos!N10+DatosP!N17," - ")</f>
        <v>5</v>
      </c>
      <c r="AN10" s="693">
        <f>IF(ISNUMBER(Datos!BW10+DatosP!BW17),Datos!BW10+DatosP!BW17," - ")</f>
        <v>0</v>
      </c>
      <c r="AO10" s="694">
        <f>IF(ISNUMBER(Datos!BX10+DatosP!BX17),Datos!BX10+DatosP!BX17," - ")</f>
        <v>0</v>
      </c>
      <c r="AP10" s="696">
        <f>IF(ISNUMBER(((Datos!L10/Datos!K10)*11)/factor_trimestre),((Datos!L10/Datos!K10)*11)/factor_trimestre," - ")</f>
        <v>29.47058823529412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148</v>
      </c>
      <c r="G13" s="941">
        <f t="shared" si="0"/>
        <v>185</v>
      </c>
      <c r="H13" s="941">
        <f t="shared" si="0"/>
        <v>0</v>
      </c>
      <c r="I13" s="943">
        <f t="shared" si="0"/>
        <v>0</v>
      </c>
      <c r="J13" s="942">
        <f t="shared" si="0"/>
        <v>0</v>
      </c>
      <c r="K13" s="942">
        <f t="shared" si="0"/>
        <v>0</v>
      </c>
      <c r="L13" s="944">
        <f t="shared" si="0"/>
        <v>0</v>
      </c>
      <c r="M13" s="944">
        <f t="shared" si="0"/>
        <v>0</v>
      </c>
      <c r="N13" s="942">
        <f t="shared" si="0"/>
        <v>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17</v>
      </c>
      <c r="AC13" s="942">
        <f t="shared" si="1"/>
        <v>0</v>
      </c>
      <c r="AD13" s="942">
        <f t="shared" si="1"/>
        <v>0</v>
      </c>
      <c r="AE13" s="942">
        <f t="shared" si="1"/>
        <v>0</v>
      </c>
      <c r="AF13" s="942">
        <f t="shared" si="1"/>
        <v>167</v>
      </c>
      <c r="AG13" s="942">
        <f t="shared" si="1"/>
        <v>0</v>
      </c>
      <c r="AH13" s="942">
        <f t="shared" si="1"/>
        <v>0</v>
      </c>
      <c r="AI13" s="942">
        <f t="shared" si="1"/>
        <v>0</v>
      </c>
      <c r="AJ13" s="942">
        <f t="shared" si="1"/>
        <v>0</v>
      </c>
      <c r="AK13" s="942">
        <f t="shared" si="1"/>
        <v>0</v>
      </c>
      <c r="AL13" s="942">
        <f t="shared" si="1"/>
        <v>8</v>
      </c>
      <c r="AM13" s="942">
        <f t="shared" si="1"/>
        <v>5</v>
      </c>
      <c r="AN13" s="942">
        <f t="shared" si="1"/>
        <v>0</v>
      </c>
      <c r="AO13" s="942">
        <f t="shared" si="1"/>
        <v>0</v>
      </c>
      <c r="AP13" s="947">
        <f>IF(ISNUMBER(((Datos!L13/Datos!K13)*11)/factor_trimestre),((Datos!L13/Datos!K13)*11)/factor_trimestre," - ")</f>
        <v>10.452991452991453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-0.11486486486486487</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3</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2.8842195540308753</v>
      </c>
      <c r="AQ18" s="947">
        <f>IF(ISNUMBER(((Datos!M18/Datos!L18)*11)/factor_trimestre),((Datos!M18/Datos!L18)*11)/factor_trimestre," - ")</f>
        <v>0.24487065120428189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-5.2132701421800945E-2</v>
      </c>
      <c r="AW18" s="949">
        <f>IF(ISNUMBER((Datos!Q18-Datos!R18)/(Datos!S18-Datos!Q18+Datos!R18)),(Datos!Q18-Datos!R18)/(Datos!S18-Datos!Q18+Datos!R18)," - ")</f>
        <v>-9.375E-2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148</v>
      </c>
      <c r="G19" s="954">
        <f t="shared" si="4"/>
        <v>185</v>
      </c>
      <c r="H19" s="954">
        <f t="shared" si="4"/>
        <v>0</v>
      </c>
      <c r="I19" s="955">
        <f t="shared" si="4"/>
        <v>0</v>
      </c>
      <c r="J19" s="956">
        <f t="shared" si="4"/>
        <v>0</v>
      </c>
      <c r="K19" s="956">
        <f t="shared" si="4"/>
        <v>0</v>
      </c>
      <c r="L19" s="956">
        <f t="shared" si="4"/>
        <v>0</v>
      </c>
      <c r="M19" s="956">
        <f t="shared" si="4"/>
        <v>0</v>
      </c>
      <c r="N19" s="955">
        <f t="shared" si="4"/>
        <v>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17</v>
      </c>
      <c r="AC19" s="960">
        <f t="shared" si="5"/>
        <v>0</v>
      </c>
      <c r="AD19" s="960">
        <f t="shared" si="5"/>
        <v>0</v>
      </c>
      <c r="AE19" s="960">
        <f t="shared" si="5"/>
        <v>0</v>
      </c>
      <c r="AF19" s="961">
        <f t="shared" si="5"/>
        <v>167</v>
      </c>
      <c r="AG19" s="961">
        <f t="shared" si="5"/>
        <v>0</v>
      </c>
      <c r="AH19" s="961">
        <f t="shared" si="5"/>
        <v>0</v>
      </c>
      <c r="AI19" s="961">
        <f t="shared" si="5"/>
        <v>0</v>
      </c>
      <c r="AJ19" s="962">
        <f t="shared" si="5"/>
        <v>0</v>
      </c>
      <c r="AK19" s="962">
        <f t="shared" si="5"/>
        <v>0</v>
      </c>
      <c r="AL19" s="954">
        <f t="shared" si="5"/>
        <v>8</v>
      </c>
      <c r="AM19" s="954">
        <f t="shared" si="5"/>
        <v>5</v>
      </c>
      <c r="AN19" s="954">
        <f t="shared" si="5"/>
        <v>0</v>
      </c>
      <c r="AO19" s="954">
        <f t="shared" si="5"/>
        <v>0</v>
      </c>
      <c r="AP19" s="954">
        <f>IF(ISNUMBER(((Datos!L19/Datos!K19)*11)/factor_trimestre),((Datos!L19/Datos!K19)*11)/factor_trimestre," - ")</f>
        <v>5.7285867237687365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-0.11486486486486487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2.6634744875056113E-2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123.33333333333333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2.5819888974716112</v>
      </c>
      <c r="F21" s="739">
        <f>IF(ISNUMBER(STDEV(F8:F18)),STDEV(F8:F18),"-")</f>
        <v>85.447839840064617</v>
      </c>
      <c r="G21" s="740">
        <f>IF(ISNUMBER(STDEV(G8:G18)),STDEV(G8:G18),"-")</f>
        <v>106.80979980008077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9.8149545762236379</v>
      </c>
      <c r="AC21" s="741">
        <f>IF(ISNUMBER(STDEV(AC8:AC18)),STDEV(AC8:AC18),"-")</f>
        <v>0</v>
      </c>
      <c r="AD21" s="744"/>
      <c r="AE21" s="744"/>
      <c r="AF21" s="744"/>
      <c r="AG21" s="744"/>
      <c r="AH21" s="744"/>
      <c r="AI21" s="744"/>
      <c r="AJ21" s="745">
        <f>IF(ISNUMBER(STDEV(AJ8:AJ18)),STDEV(AJ8:AJ18),"-")</f>
        <v>0</v>
      </c>
      <c r="AK21" s="747"/>
      <c r="AL21" s="739">
        <f>IF(ISNUMBER(STDEV(AL8:AL18)),STDEV(AL8:AL18),"-")</f>
        <v>4.6188021535170067</v>
      </c>
      <c r="AM21" s="739"/>
      <c r="AN21" s="739">
        <f>IF(ISNUMBER(STDEV(AN8:AN18)),STDEV(AN8:AN18),"-")</f>
        <v>0</v>
      </c>
      <c r="AO21" s="745">
        <f>IF(ISNUMBER(STDEV(AO8:AO18)),STDEV(AO8:AO18),"-")</f>
        <v>0</v>
      </c>
      <c r="AP21" s="782">
        <f>IF(ISNUMBER(STDEV(AP8:AP18)),STDEV(AP8:AP18),"-")</f>
        <v>13.697872676008242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t24/dSW+t9hdMKr3Swl8y7FwpN8Il3B/uvMyHsr0NhFaaBPalz/z3lyW3J1KOKr/zbX/p7Fav1KoIA/spCJbLw==" saltValue="IlC2mhK1Kpn6UI5s7l0Oq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ISLAS BALEARES</v>
      </c>
      <c r="C2" s="378"/>
      <c r="E2" s="378"/>
      <c r="F2" s="378"/>
      <c r="G2" s="378"/>
      <c r="H2" s="378"/>
    </row>
    <row r="3" spans="1:15" ht="39">
      <c r="A3" s="418" t="s">
        <v>221</v>
      </c>
      <c r="B3" s="394" t="str">
        <f>Criterios!A10 &amp;"  "&amp;Criterios!B10</f>
        <v>Provincias  ILLES BALEARS</v>
      </c>
      <c r="C3" s="418"/>
      <c r="F3" s="378"/>
      <c r="G3" s="378"/>
      <c r="H3" s="378"/>
    </row>
    <row r="4" spans="1:15" ht="13.5" thickBot="1">
      <c r="A4" s="378"/>
      <c r="B4" s="394" t="str">
        <f>Criterios!A11 &amp;"  "&amp;Criterios!B11</f>
        <v>Resumenes por Partidos Judiciales  MANACOR</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3</v>
      </c>
      <c r="D15" s="406">
        <f>Datos!BK15</f>
        <v>0</v>
      </c>
      <c r="E15" s="406">
        <f>Datos!AQ15</f>
        <v>3</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xp0LgL7/MqpuoXjFxTH8EqZQjDXpxzVgnlz3DsgBHyF3Y6DdveXJDyZu1i7Ku7/R+Kfn5+YoGD/DSKjy20Z/Ew==" saltValue="ux7m7yPszVDV5NUHNJg2C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ISLAS BALEARES</v>
      </c>
      <c r="C2" s="394"/>
    </row>
    <row r="3" spans="1:9" ht="19.5">
      <c r="A3" s="428" t="s">
        <v>11</v>
      </c>
      <c r="B3" s="394" t="str">
        <f>Criterios!A10 &amp;"  "&amp;Criterios!B10</f>
        <v>Provincias  ILLES BALEARS</v>
      </c>
      <c r="C3" s="394"/>
      <c r="D3" s="428"/>
    </row>
    <row r="4" spans="1:9" ht="13.5" thickBot="1">
      <c r="B4" s="394" t="str">
        <f>Criterios!A11 &amp;"  "&amp;Criterios!B11</f>
        <v>Resumenes por Partidos Judiciales  MANACOR</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396</v>
      </c>
      <c r="E9" s="407">
        <f t="shared" ref="E9:E13" si="0">IF(ISNUMBER(D9/B9),D9/B9," - ")</f>
        <v>79.2</v>
      </c>
      <c r="F9" s="406">
        <f>IF(ISNUMBER(Datos!N9),Datos!N9," - ")</f>
        <v>595</v>
      </c>
      <c r="G9" s="407">
        <f t="shared" ref="G9:G13" si="1">IF(ISNUMBER(F9/B9),F9/B9," - ")</f>
        <v>119</v>
      </c>
      <c r="H9" s="406">
        <f>IF(ISNUMBER(Datos!O9),Datos!O9," - ")</f>
        <v>551</v>
      </c>
      <c r="I9" s="407">
        <f>IF(ISNUMBER(H9/B9),H9/B9," - ")</f>
        <v>110.2</v>
      </c>
    </row>
    <row r="10" spans="1:9">
      <c r="A10" s="405" t="str">
        <f>Datos!A10</f>
        <v>Jdos. Violencia contra la mujer</v>
      </c>
      <c r="B10" s="430">
        <f>Datos!AO10</f>
        <v>1</v>
      </c>
      <c r="C10" s="413">
        <f>Datos!AQ10</f>
        <v>0</v>
      </c>
      <c r="D10" s="406">
        <f>IF(ISNUMBER(Datos!M10),Datos!M10," - ")</f>
        <v>8</v>
      </c>
      <c r="E10" s="407">
        <f>IF(ISNUMBER(D10/B10),D10/B10," - ")</f>
        <v>8</v>
      </c>
      <c r="F10" s="406">
        <f>IF(ISNUMBER(Datos!N10),Datos!N10," - ")</f>
        <v>5</v>
      </c>
      <c r="G10" s="407">
        <f>IF(ISNUMBER(F10/B10),F10/B10," - ")</f>
        <v>5</v>
      </c>
      <c r="H10" s="406">
        <f>IF(ISNUMBER(Datos!O10),Datos!O10," - ")</f>
        <v>21</v>
      </c>
      <c r="I10" s="407">
        <f t="shared" ref="I10:I12" si="2">IF(ISNUMBER(H10/B10),H10/B10," - ")</f>
        <v>21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6</v>
      </c>
      <c r="C13" s="854">
        <f>Datos!AR13</f>
        <v>5</v>
      </c>
      <c r="D13" s="852">
        <f>SUBTOTAL(9,D9:D12)</f>
        <v>404</v>
      </c>
      <c r="E13" s="853">
        <f t="shared" si="0"/>
        <v>67.333333333333329</v>
      </c>
      <c r="F13" s="852">
        <f>SUBTOTAL(9,F9:F12)</f>
        <v>600</v>
      </c>
      <c r="G13" s="853">
        <f t="shared" si="1"/>
        <v>100</v>
      </c>
      <c r="H13" s="852">
        <f>SUBTOTAL(9,H9:H12)</f>
        <v>572</v>
      </c>
      <c r="I13" s="853">
        <f>IF(ISNUMBER(H13/B13),H13/B13," - ")</f>
        <v>95.333333333333329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3</v>
      </c>
      <c r="C15" s="431">
        <f>Datos!AQ15</f>
        <v>3</v>
      </c>
      <c r="D15" s="406">
        <f>IF(ISNUMBER(Datos!M15),Datos!M15," - ")</f>
        <v>139</v>
      </c>
      <c r="E15" s="407">
        <f t="shared" ref="E15:E18" si="3">IF(ISNUMBER(D15/B15),D15/B15," - ")</f>
        <v>46.333333333333336</v>
      </c>
      <c r="F15" s="406">
        <f>IF(ISNUMBER(Datos!N15),Datos!N15," - ")</f>
        <v>1297</v>
      </c>
      <c r="G15" s="407">
        <f t="shared" ref="G15:G18" si="4">IF(ISNUMBER(F15/B15),F15/B15," - ")</f>
        <v>432.33333333333331</v>
      </c>
      <c r="H15" s="406">
        <f>IF(ISNUMBER(Datos!O15),Datos!O15," - ")</f>
        <v>12</v>
      </c>
      <c r="I15" s="407">
        <f t="shared" ref="I15:I17" si="5">IF(ISNUMBER(H15/B15),H15/B15," - ")</f>
        <v>4</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0</v>
      </c>
      <c r="D17" s="406">
        <f>IF(ISNUMBER(Datos!M17),Datos!M17," - ")</f>
        <v>44</v>
      </c>
      <c r="E17" s="407">
        <f>IF(ISNUMBER(D17/B17),D17/B17," - ")</f>
        <v>44</v>
      </c>
      <c r="F17" s="406">
        <f>IF(ISNUMBER(Datos!N17),Datos!N17," - ")</f>
        <v>230</v>
      </c>
      <c r="G17" s="407">
        <f>IF(ISNUMBER(F17/B17),F17/B17," - ")</f>
        <v>230</v>
      </c>
      <c r="H17" s="406">
        <f>IF(ISNUMBER(Datos!O17),Datos!O17," - ")</f>
        <v>17</v>
      </c>
      <c r="I17" s="407">
        <f t="shared" si="5"/>
        <v>17</v>
      </c>
    </row>
    <row r="18" spans="1:9" ht="14.25" thickTop="1" thickBot="1">
      <c r="A18" s="851" t="str">
        <f>Datos!A18</f>
        <v>TOTAL</v>
      </c>
      <c r="B18" s="852">
        <f>Datos!AO18</f>
        <v>4</v>
      </c>
      <c r="C18" s="854">
        <f>Datos!AR18</f>
        <v>3</v>
      </c>
      <c r="D18" s="852">
        <f>SUBTOTAL(9,D15:D17)</f>
        <v>183</v>
      </c>
      <c r="E18" s="853">
        <f t="shared" si="3"/>
        <v>45.75</v>
      </c>
      <c r="F18" s="852">
        <f>SUBTOTAL(9,F15:F17)</f>
        <v>1527</v>
      </c>
      <c r="G18" s="853">
        <f t="shared" si="4"/>
        <v>381.75</v>
      </c>
      <c r="H18" s="852">
        <f>SUBTOTAL(9,H15:H17)</f>
        <v>29</v>
      </c>
      <c r="I18" s="853">
        <f>IF(ISNUMBER(H18/B18),H18/B18," - ")</f>
        <v>7.25</v>
      </c>
    </row>
    <row r="19" spans="1:9" ht="14.25" thickTop="1" thickBot="1">
      <c r="A19" s="796" t="str">
        <f>Datos!A19</f>
        <v>TOTAL JURISDICCIONES</v>
      </c>
      <c r="B19" s="797">
        <f>Datos!AP19</f>
        <v>8</v>
      </c>
      <c r="C19" s="797">
        <f>Datos!AR19</f>
        <v>8</v>
      </c>
      <c r="D19" s="797">
        <f>SUBTOTAL(9,D8:D18)</f>
        <v>587</v>
      </c>
      <c r="E19" s="798">
        <f>IF(ISNUMBER(D19/B19),D19/B19," - ")</f>
        <v>73.375</v>
      </c>
      <c r="F19" s="797">
        <f>SUBTOTAL(9,F8:F18)</f>
        <v>2127</v>
      </c>
      <c r="G19" s="798">
        <f>IF(ISNUMBER(F19/B19),F19/B19," - ")</f>
        <v>265.875</v>
      </c>
      <c r="H19" s="797">
        <f>SUBTOTAL(9,H8:H18)</f>
        <v>601</v>
      </c>
      <c r="I19" s="798">
        <f>IF(ISNUMBER(H19/B19),H19/B19," - ")</f>
        <v>75.125</v>
      </c>
    </row>
    <row r="22" spans="1:9">
      <c r="A22" s="394" t="str">
        <f>Criterios!A4</f>
        <v>Fecha Informe: 07 mar. 2024</v>
      </c>
    </row>
    <row r="27" spans="1:9">
      <c r="A27" s="417"/>
    </row>
  </sheetData>
  <sheetProtection algorithmName="SHA-512" hashValue="/brKWK1jaIunoMO4tUhxB0CrKbdDad5agaHS4lARphY/coHMH2I41kShPCeBfSPaNbrwkmggpmKAYEoqaKCsvA==" saltValue="/j3qTMaHSlRhJZNCLinK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ISLAS BALEARES</v>
      </c>
    </row>
    <row r="3" spans="1:4" ht="19.5">
      <c r="A3" s="432" t="s">
        <v>32</v>
      </c>
      <c r="B3" s="394" t="str">
        <f>Criterios!A10 &amp;"  "&amp;Criterios!B10</f>
        <v>Provincias  ILLES BALEARS</v>
      </c>
    </row>
    <row r="4" spans="1:4" ht="13.5" thickBot="1">
      <c r="B4" s="394" t="str">
        <f>Criterios!A11 &amp;"  "&amp;Criterios!B11</f>
        <v>Resumenes por Partidos Judiciales  MANACOR</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350</v>
      </c>
      <c r="C9" s="437">
        <f>IF(ISNUMBER(Datos!Q9),Datos!Q9," - ")</f>
        <v>147</v>
      </c>
      <c r="D9" s="411">
        <f>IF(ISNUMBER(Datos!R9),Datos!R9," - ")</f>
        <v>6597</v>
      </c>
    </row>
    <row r="10" spans="1:4">
      <c r="A10" s="405" t="str">
        <f>Datos!A10</f>
        <v>Jdos. Violencia contra la mujer</v>
      </c>
      <c r="B10" s="436">
        <f>IF(ISNUMBER(Datos!P10),Datos!P10," - ")</f>
        <v>5</v>
      </c>
      <c r="C10" s="437">
        <f>IF(ISNUMBER(Datos!Q10),Datos!Q10," - ")</f>
        <v>19</v>
      </c>
      <c r="D10" s="411">
        <f>IF(ISNUMBER(Datos!R10),Datos!R10," - ")</f>
        <v>64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355</v>
      </c>
      <c r="C13" s="856">
        <f>SUBTOTAL(9,C9:C12)</f>
        <v>166</v>
      </c>
      <c r="D13" s="854">
        <f>SUBTOTAL(9,D9:D12)</f>
        <v>6661</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17</v>
      </c>
      <c r="C15" s="437">
        <f>IF(ISNUMBER(Datos!Q15),Datos!Q15," - ")</f>
        <v>15</v>
      </c>
      <c r="D15" s="411">
        <f>IF(ISNUMBER(Datos!R15),Datos!R15," - ")</f>
        <v>169</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4</v>
      </c>
      <c r="C17" s="437">
        <f>IF(ISNUMBER(Datos!Q17),Datos!Q17," - ")</f>
        <v>17</v>
      </c>
      <c r="D17" s="411">
        <f>IF(ISNUMBER(Datos!R17),Datos!R17," - ")</f>
        <v>31</v>
      </c>
    </row>
    <row r="18" spans="1:4" ht="14.25" thickTop="1" thickBot="1">
      <c r="A18" s="851" t="str">
        <f>Datos!A18</f>
        <v>TOTAL</v>
      </c>
      <c r="B18" s="852">
        <f>SUBTOTAL(9,B15:B17)</f>
        <v>21</v>
      </c>
      <c r="C18" s="856">
        <f>SUBTOTAL(9,C15:C17)</f>
        <v>32</v>
      </c>
      <c r="D18" s="854">
        <f>SUBTOTAL(9,D15:D17)</f>
        <v>200</v>
      </c>
    </row>
    <row r="19" spans="1:4" ht="16.5" customHeight="1" thickTop="1" thickBot="1">
      <c r="A19" s="796" t="str">
        <f>Datos!A19</f>
        <v>TOTAL JURISDICCIONES</v>
      </c>
      <c r="B19" s="801">
        <f>SUBTOTAL(9,B8:B18)</f>
        <v>376</v>
      </c>
      <c r="C19" s="802">
        <f>SUBTOTAL(9,C8:C18)</f>
        <v>198</v>
      </c>
      <c r="D19" s="803">
        <f>SUBTOTAL(9,D8:D18)</f>
        <v>6861</v>
      </c>
    </row>
    <row r="20" spans="1:4" ht="7.5" customHeight="1"/>
    <row r="21" spans="1:4" ht="6" customHeight="1"/>
    <row r="22" spans="1:4">
      <c r="A22" s="394" t="str">
        <f>Criterios!A4</f>
        <v>Fecha Informe: 07 mar. 2024</v>
      </c>
    </row>
    <row r="27" spans="1:4">
      <c r="A27" s="417"/>
    </row>
  </sheetData>
  <sheetProtection algorithmName="SHA-512" hashValue="IC96xcn+xOLfkMOCVFB8Vy68fhH2F/ZqmQ+UWIM7FGbsnngeH/jktMS0/9UwDGjNxYaBPq2dXjNy2xkAi247vQ==" saltValue="59sd157S1gb808vAlGQl1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ISLAS BALEARES</v>
      </c>
    </row>
    <row r="3" spans="1:11" ht="18.75" customHeight="1">
      <c r="A3" s="432" t="s">
        <v>118</v>
      </c>
      <c r="B3" s="394" t="str">
        <f>Criterios!A10 &amp;"  "&amp;Criterios!B10</f>
        <v>Provincias  ILLES BALEARS</v>
      </c>
    </row>
    <row r="4" spans="1:11" ht="10.5" customHeight="1" thickBot="1">
      <c r="B4" s="394" t="str">
        <f>Criterios!A11 &amp;"  "&amp;Criterios!B11</f>
        <v>Resumenes por Partidos Judiciales  MANACOR</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0.28387096774193549</v>
      </c>
      <c r="C9" s="459">
        <f>IF(ISNUMBER(
   IF(J_V="SI",(Datos!J9-Datos!T9)/Datos!T9,(Datos!J9+Datos!Z9-(Datos!T9+Datos!AH9))/(Datos!T9+Datos!AH9))
     ),IF(J_V="SI",(Datos!J9-Datos!T9)/Datos!T9,(Datos!J9+Datos!Z9-(Datos!T9+Datos!AH9))/(Datos!T9+Datos!AH9))," - ")</f>
        <v>3.0409356725146199E-2</v>
      </c>
      <c r="D9" s="459">
        <f>IF(ISNUMBER(
   IF(J_V="SI",(Datos!K9-Datos!U9)/Datos!U9,(Datos!K9+Datos!AA9-(Datos!U9+Datos!AI9))/(Datos!U9+Datos!AI9))
     ),IF(J_V="SI",(Datos!K9-Datos!U9)/Datos!U9,(Datos!K9+Datos!AA9-(Datos!U9+Datos!AI9))/(Datos!U9+Datos!AI9))," - ")</f>
        <v>0.19082125603864733</v>
      </c>
      <c r="E9" s="459">
        <f>IF(ISNUMBER(
   IF(J_V="SI",(Datos!L9-Datos!V9)/Datos!V9,(Datos!L9+Datos!AB9-(Datos!V9+Datos!AJ9))/(Datos!V9+Datos!AJ9))
     ),IF(J_V="SI",(Datos!L9-Datos!V9)/Datos!V9,(Datos!L9+Datos!AB9-(Datos!V9+Datos!AJ9))/(Datos!V9+Datos!AJ9))," - ")</f>
        <v>0.26200986756686573</v>
      </c>
      <c r="F9" s="459">
        <f>IF(ISNUMBER((Datos!M9-Datos!W9)/Datos!W9),(Datos!M9-Datos!W9)/Datos!W9," - ")</f>
        <v>0.17857142857142858</v>
      </c>
      <c r="G9" s="460">
        <f>IF(ISNUMBER((Datos!N9-Datos!X9)/Datos!X9),(Datos!N9-Datos!X9)/Datos!X9," - ")</f>
        <v>0.2318840579710145</v>
      </c>
      <c r="H9" s="458">
        <f>IF(ISNUMBER(((NºAsuntos!G9/NºAsuntos!E9)-Datos!BD9)/Datos!BD9),((NºAsuntos!G9/NºAsuntos!E9)-Datos!BD9)/Datos!BD9," - ")</f>
        <v>0.15567783645067354</v>
      </c>
      <c r="I9" s="459">
        <f>IF(ISNUMBER(((NºAsuntos!I9/NºAsuntos!G9)-Datos!BE9)/Datos!BE9),((NºAsuntos!I9/NºAsuntos!G9)-Datos!BE9)/Datos!BE9," - ")</f>
        <v>5.978110582694203E-2</v>
      </c>
      <c r="J9" s="464">
        <f>IF(ISNUMBER((('Resol  Asuntos'!D9/NºAsuntos!G9)-Datos!BF9)/Datos!BF9),(('Resol  Asuntos'!D9/NºAsuntos!G9)-Datos!BF9)/Datos!BF9," - ")</f>
        <v>-0.31150391190959142</v>
      </c>
      <c r="K9" s="465">
        <f>IF(ISNUMBER((((NºAsuntos!C9+NºAsuntos!E9)/NºAsuntos!G9)-Datos!BG9)/Datos!BG9),(((NºAsuntos!C9+NºAsuntos!E9)/NºAsuntos!G9)-Datos!BG9)/Datos!BG9," - ")</f>
        <v>9.1406708131854982E-3</v>
      </c>
    </row>
    <row r="10" spans="1:11">
      <c r="A10" s="405" t="str">
        <f>Datos!A10</f>
        <v>Jdos. Violencia contra la mujer</v>
      </c>
      <c r="B10" s="458">
        <f>IF(ISNUMBER((Datos!I10-Datos!S10)/Datos!S10),(Datos!I10-Datos!S10)/Datos!S10," - ")</f>
        <v>0.50406504065040647</v>
      </c>
      <c r="C10" s="459">
        <f>IF(ISNUMBER((Datos!J10-Datos!T10)/Datos!T10),(Datos!J10-Datos!T10)/Datos!T10," - ")</f>
        <v>5.8823529411764705E-2</v>
      </c>
      <c r="D10" s="459">
        <f>IF(ISNUMBER((Datos!K10-Datos!U10)/Datos!U10),(Datos!K10-Datos!U10)/Datos!U10," - ")</f>
        <v>0.21428571428571427</v>
      </c>
      <c r="E10" s="459">
        <f>IF(ISNUMBER((Datos!L10-Datos!V10)/Datos!V10),(Datos!L10-Datos!V10)/Datos!V10," - ")</f>
        <v>0.16783216783216784</v>
      </c>
      <c r="F10" s="459">
        <f>IF(ISNUMBER((Datos!M10-Datos!W10)/Datos!W10),(Datos!M10-Datos!W10)/Datos!W10," - ")</f>
        <v>0.14285714285714285</v>
      </c>
      <c r="G10" s="460">
        <f>IF(ISNUMBER((Datos!N10-Datos!X10)/Datos!X10),(Datos!N10-Datos!X10)/Datos!X10," - ")</f>
        <v>0.25</v>
      </c>
      <c r="H10" s="458">
        <f>IF(ISNUMBER(((NºAsuntos!G10/NºAsuntos!E10)-Datos!BD10)/Datos!BD10),((NºAsuntos!G10/NºAsuntos!E10)-Datos!BD10)/Datos!BD10," - ")</f>
        <v>0.14682539682539686</v>
      </c>
      <c r="I10" s="459">
        <f>IF(ISNUMBER(((NºAsuntos!I10/NºAsuntos!G10)-Datos!BE10)/Datos!BE10),((NºAsuntos!I10/NºAsuntos!G10)-Datos!BE10)/Datos!BE10," - ")</f>
        <v>-3.8255861785273418E-2</v>
      </c>
      <c r="J10" s="464">
        <f>IF(ISNUMBER((('Resol  Asuntos'!D10/NºAsuntos!G10)-Datos!BF10)/Datos!BF10),(('Resol  Asuntos'!D10/NºAsuntos!G10)-Datos!BF10)/Datos!BF10," - ")</f>
        <v>-5.8823529411764719E-2</v>
      </c>
      <c r="K10" s="465">
        <f>IF(ISNUMBER((((NºAsuntos!C10+NºAsuntos!E10)/NºAsuntos!G10)-Datos!BG10)/Datos!BG10),(((NºAsuntos!C10+NºAsuntos!E10)/NºAsuntos!G10)-Datos!BG10)/Datos!BG10," - ")</f>
        <v>0.15923566878980899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0.29121475054229934</v>
      </c>
      <c r="C13" s="858">
        <f>IF(ISNUMBER(
   IF(J_V="SI",(Datos!J13-Datos!T13)/Datos!T13,(Datos!J13+Datos!Z13-(Datos!T13+Datos!AH13))/(Datos!T13+Datos!AH13))
     ),IF(J_V="SI",(Datos!J13-Datos!T13)/Datos!T13,(Datos!J13+Datos!Z13-(Datos!T13+Datos!AH13))/(Datos!T13+Datos!AH13))," - ")</f>
        <v>3.096330275229358E-2</v>
      </c>
      <c r="D13" s="858">
        <f>IF(ISNUMBER(
   IF(J_V="SI",(Datos!K13-Datos!U13)/Datos!U13,(Datos!K13+Datos!AA13-(Datos!U13+Datos!AI13))/(Datos!U13+Datos!AI13))
     ),IF(J_V="SI",(Datos!K13-Datos!U13)/Datos!U13,(Datos!K13+Datos!AA13-(Datos!U13+Datos!AI13))/(Datos!U13+Datos!AI13))," - ")</f>
        <v>0.19108280254777071</v>
      </c>
      <c r="E13" s="858">
        <f>IF(ISNUMBER(
   IF(J_V="SI",(Datos!L13-Datos!V13)/Datos!V13,(Datos!L13+Datos!AB13-(Datos!V13+Datos!AJ13))/(Datos!V13+Datos!AJ13))
     ),IF(J_V="SI",(Datos!L13-Datos!V13)/Datos!V13,(Datos!L13+Datos!AB13-(Datos!V13+Datos!AJ13))/(Datos!V13+Datos!AJ13))," - ")</f>
        <v>0.25863795693540309</v>
      </c>
      <c r="F13" s="859">
        <f>IF(ISNUMBER((Datos!M13-Datos!W13)/Datos!W13),(Datos!M13-Datos!W13)/Datos!W13," - ")</f>
        <v>0.17784256559766765</v>
      </c>
      <c r="G13" s="860">
        <f>IF(ISNUMBER((Datos!N13-Datos!X13)/Datos!X13),(Datos!N13-Datos!X13)/Datos!X13," - ")</f>
        <v>0.23203285420944558</v>
      </c>
      <c r="H13" s="860">
        <f>IF(ISNUMBER(((NºAsuntos!G13/NºAsuntos!E13)-Datos!BD13)/Datos!BD13),((NºAsuntos!G13/NºAsuntos!E13)-Datos!BD13)/Datos!BD13," - ")</f>
        <v>0.15531057154800443</v>
      </c>
      <c r="I13" s="860">
        <f>IF(ISNUMBER(((NºAsuntos!I13/NºAsuntos!G13)-Datos!BE13)/Datos!BE13),((NºAsuntos!I13/NºAsuntos!G13)-Datos!BE13)/Datos!BE13," - ")</f>
        <v>5.6717429084803761E-2</v>
      </c>
      <c r="J13" s="860">
        <f>IF(ISNUMBER((('Resol  Asuntos'!D13/NºAsuntos!G13)-Datos!BF13)/Datos!BF13),(('Resol  Asuntos'!D13/NºAsuntos!G13)-Datos!BF13)/Datos!BF13," - ")</f>
        <v>-0.30778129433591617</v>
      </c>
      <c r="K13" s="860">
        <f>IF(ISNUMBER((((NºAsuntos!C13+NºAsuntos!E13)/NºAsuntos!G13)-Datos!BG13)/Datos!BG13),(((NºAsuntos!C13+NºAsuntos!E13)/NºAsuntos!G13)-Datos!BG13)/Datos!BG13," - ")</f>
        <v>1.3916344419679788E-2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0.28916544655929721</v>
      </c>
      <c r="C15" s="459">
        <f>IF(ISNUMBER(
   IF(D_I="SI",(Datos!J15-Datos!T15)/Datos!T15,(Datos!J15+Datos!AD15-(Datos!T15+Datos!AL15))/(Datos!T15+Datos!AL15))
     ),IF(D_I="SI",(Datos!J15-Datos!T15)/Datos!T15,(Datos!J15+Datos!AD15-(Datos!T15+Datos!AL15))/(Datos!T15+Datos!AL15))," - ")</f>
        <v>0.32967667436489606</v>
      </c>
      <c r="D15" s="459">
        <f>IF(ISNUMBER(
   IF(D_I="SI",(Datos!K15-Datos!U15)/Datos!U15,(Datos!K15+Datos!AE15-(Datos!U15+Datos!AM15))/(Datos!U15+Datos!AM15))
     ),IF(D_I="SI",(Datos!K15-Datos!U15)/Datos!U15,(Datos!K15+Datos!AE15-(Datos!U15+Datos!AM15))/(Datos!U15+Datos!AM15))," - ")</f>
        <v>0.10921125206839492</v>
      </c>
      <c r="E15" s="459">
        <f>IF(ISNUMBER(
   IF(D_I="SI",(Datos!L15-Datos!V15)/Datos!V15,(Datos!L15+Datos!AF15-(Datos!V15+Datos!AN15))/(Datos!V15+Datos!AN15))
     ),IF(D_I="SI",(Datos!L15-Datos!V15)/Datos!V15,(Datos!L15+Datos!AF15-(Datos!V15+Datos!AN15))/(Datos!V15+Datos!AN15))," - ")</f>
        <v>0.59815242494226328</v>
      </c>
      <c r="F15" s="459">
        <f>IF(ISNUMBER((Datos!M15-Datos!W15)/Datos!W15),(Datos!M15-Datos!W15)/Datos!W15," - ")</f>
        <v>-0.17261904761904762</v>
      </c>
      <c r="G15" s="460">
        <f>IF(ISNUMBER((Datos!N15-Datos!X15)/Datos!X15),(Datos!N15-Datos!X15)/Datos!X15," - ")</f>
        <v>7.716049382716049E-4</v>
      </c>
      <c r="H15" s="458">
        <f>IF(ISNUMBER(((NºAsuntos!G15/NºAsuntos!E15)-Datos!BD15)/Datos!BD15),((NºAsuntos!G15/NºAsuntos!E15)-Datos!BD15)/Datos!BD15," - ")</f>
        <v>-0.1658037826389665</v>
      </c>
      <c r="I15" s="459">
        <f>IF(ISNUMBER(((NºAsuntos!I15/NºAsuntos!G15)-Datos!BE15)/Datos!BE15),((NºAsuntos!I15/NºAsuntos!G15)-Datos!BE15)/Datos!BE15," - ")</f>
        <v>0.44080076898076737</v>
      </c>
      <c r="J15" s="464">
        <f>IF(ISNUMBER((('Resol  Asuntos'!D15/NºAsuntos!G15)-Datos!BF15)/Datos!BF15),(('Resol  Asuntos'!D15/NºAsuntos!G15)-Datos!BF15)/Datos!BF15," - ")</f>
        <v>-0.25408171722194584</v>
      </c>
      <c r="K15" s="465">
        <f>IF(ISNUMBER((((NºAsuntos!C15+NºAsuntos!E15)/NºAsuntos!G15)-Datos!BG15)/Datos!BG15),(((NºAsuntos!C15+NºAsuntos!E15)/NºAsuntos!G15)-Datos!BG15)/Datos!BG15," - ")</f>
        <v>0.18265485600661827</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-0.29457364341085274</v>
      </c>
      <c r="C17" s="459">
        <f>IF(ISNUMBER(
   IF(D_I="SI",(Datos!J17-Datos!T17)/Datos!T17,(Datos!J17+Datos!AD17-(Datos!T17+Datos!AL17))/(Datos!T17+Datos!AL17))
     ),IF(D_I="SI",(Datos!J17-Datos!T17)/Datos!T17,(Datos!J17+Datos!AD17-(Datos!T17+Datos!AL17))/(Datos!T17+Datos!AL17))," - ")</f>
        <v>0.1867704280155642</v>
      </c>
      <c r="D17" s="459">
        <f>IF(ISNUMBER(
   IF(D_I="SI",(Datos!K17-Datos!U17)/Datos!U17,(Datos!K17+Datos!AE17-(Datos!U17+Datos!AM17))/(Datos!U17+Datos!AM17))
     ),IF(D_I="SI",(Datos!K17-Datos!U17)/Datos!U17,(Datos!K17+Datos!AE17-(Datos!U17+Datos!AM17))/(Datos!U17+Datos!AM17))," - ")</f>
        <v>8.4459459459459457E-2</v>
      </c>
      <c r="E17" s="459">
        <f>IF(ISNUMBER(
   IF(D_I="SI",(Datos!L17-Datos!V17)/Datos!V17,(Datos!L17+Datos!AF17-(Datos!V17+Datos!AN17))/(Datos!V17+Datos!AN17))
     ),IF(D_I="SI",(Datos!L17-Datos!V17)/Datos!V17,(Datos!L17+Datos!AF17-(Datos!V17+Datos!AN17))/(Datos!V17+Datos!AN17))," - ")</f>
        <v>-0.25892857142857145</v>
      </c>
      <c r="F17" s="459">
        <f>IF(ISNUMBER((Datos!M17-Datos!W17)/Datos!W17),(Datos!M17-Datos!W17)/Datos!W17," - ")</f>
        <v>0.1891891891891892</v>
      </c>
      <c r="G17" s="460">
        <f>IF(ISNUMBER((Datos!N17-Datos!X17)/Datos!X17),(Datos!N17-Datos!X17)/Datos!X17," - ")</f>
        <v>9.004739336492891E-2</v>
      </c>
      <c r="H17" s="458">
        <f>IF(ISNUMBER(((NºAsuntos!G17/NºAsuntos!E17)-Datos!BD17)/Datos!BD17),((NºAsuntos!G17/NºAsuntos!E17)-Datos!BD17)/Datos!BD17," - ")</f>
        <v>-8.620957022596358E-2</v>
      </c>
      <c r="I17" s="459">
        <f>IF(ISNUMBER(((NºAsuntos!I17/NºAsuntos!G17)-Datos!BE17)/Datos!BE17),((NºAsuntos!I17/NºAsuntos!G17)-Datos!BE17)/Datos!BE17," - ")</f>
        <v>-0.31664441477525601</v>
      </c>
      <c r="J17" s="464">
        <f>IF(ISNUMBER((('Resol  Asuntos'!D17/NºAsuntos!G17)-Datos!BF17)/Datos!BF17),(('Resol  Asuntos'!D17/NºAsuntos!G17)-Datos!BF17)/Datos!BF17," - ")</f>
        <v>9.6573208722741333E-2</v>
      </c>
      <c r="K17" s="465">
        <f>IF(ISNUMBER((((NºAsuntos!C17+NºAsuntos!E17)/NºAsuntos!G17)-Datos!BG17)/Datos!BG17),(((NºAsuntos!C17+NºAsuntos!E17)/NºAsuntos!G17)-Datos!BG17)/Datos!BG17," - ")</f>
        <v>-0.12801621147506276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0.19642857142857142</v>
      </c>
      <c r="C18" s="858">
        <f>IF(ISNUMBER(
   IF(Criterios!B14="SI",(Datos!J18-Datos!T18)/Datos!T18,(Datos!J18+Datos!AD18-(Datos!T18+Datos!AL18))/(Datos!T18+Datos!AL18))
     ),IF(Criterios!B14="SI",(Datos!J18-Datos!T18)/Datos!T18,(Datos!J18+Datos!AD18-(Datos!T18+Datos!AL18))/(Datos!T18+Datos!AL18))," - ")</f>
        <v>0.31121166415284063</v>
      </c>
      <c r="D18" s="858">
        <f>IF(ISNUMBER(
   IF(Criterios!B14="SI",(Datos!K18-Datos!U18)/Datos!U18,(Datos!K18+Datos!AE18-(Datos!U18+Datos!AM18))/(Datos!U18+Datos!AM18))
     ),IF(Criterios!B14="SI",(Datos!K18-Datos!U18)/Datos!U18,(Datos!K18+Datos!AE18-(Datos!U18+Datos!AM18))/(Datos!U18+Datos!AM18))," - ")</f>
        <v>0.10573731626363206</v>
      </c>
      <c r="E18" s="858">
        <f>IF(ISNUMBER(
   IF(Criterios!B14="SI",(Datos!L18-Datos!V18)/Datos!V18,(Datos!L18+Datos!AF18-(Datos!V18+Datos!AN18))/(Datos!V18+Datos!AN18))
     ),IF(Criterios!B14="SI",(Datos!L18-Datos!V18)/Datos!V18,(Datos!L18+Datos!AF18-(Datos!V18+Datos!AN18))/(Datos!V18+Datos!AN18))," - ")</f>
        <v>0.47209455022980956</v>
      </c>
      <c r="F18" s="859">
        <f>IF(ISNUMBER((Datos!M18-Datos!W18)/Datos!W18),(Datos!M18-Datos!W18)/Datos!W18," - ")</f>
        <v>-0.10731707317073171</v>
      </c>
      <c r="G18" s="860">
        <f>IF(ISNUMBER((Datos!N18-Datos!X18)/Datos!X18),(Datos!N18-Datos!X18)/Datos!X18," - ")</f>
        <v>1.3271400132714002E-2</v>
      </c>
      <c r="H18" s="860">
        <f>IF(ISNUMBER(((NºAsuntos!G18/NºAsuntos!E18)-Datos!BD18)/Datos!BD18),((NºAsuntos!G18/NºAsuntos!E18)-Datos!BD18)/Datos!BD18," - ")</f>
        <v>-0.15670570473605674</v>
      </c>
      <c r="I18" s="860">
        <f>IF(ISNUMBER(((NºAsuntos!I18/NºAsuntos!G18)-Datos!BE18)/Datos!BE18),((NºAsuntos!I18/NºAsuntos!G18)-Datos!BE18)/Datos!BE18," - ")</f>
        <v>0.33132393071812544</v>
      </c>
      <c r="J18" s="860">
        <f>IF(ISNUMBER((('Resol  Asuntos'!D18/NºAsuntos!G18)-Datos!BF18)/Datos!BF18),(('Resol  Asuntos'!D18/NºAsuntos!G18)-Datos!BF18)/Datos!BF18," - ")</f>
        <v>-0.19268083504162661</v>
      </c>
      <c r="K18" s="860">
        <f>IF(ISNUMBER((((NºAsuntos!C18+NºAsuntos!E18)/NºAsuntos!G18)-Datos!BG18)/Datos!BG18),(((NºAsuntos!C18+NºAsuntos!E18)/NºAsuntos!G18)-Datos!BG18)/Datos!BG18," - ")</f>
        <v>0.13916571993928911</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0.26223644578313254</v>
      </c>
      <c r="C19" s="805">
        <f>IF(ISNUMBER(
   IF(J_V="SI",(Datos!J19-Datos!T19)/Datos!T19,(Datos!J19+Datos!Z19-(Datos!T19+Datos!AH19))/(Datos!T19+Datos!AH19))
     ),IF(J_V="SI",(Datos!J19-Datos!T19)/Datos!T19,(Datos!J19+Datos!Z19-(Datos!T19+Datos!AH19))/(Datos!T19+Datos!AH19))," - ")</f>
        <v>0.18028395392445754</v>
      </c>
      <c r="D19" s="805">
        <f>IF(ISNUMBER(
   IF(J_V="SI",(Datos!K19-Datos!U19)/Datos!U19,(Datos!K19+Datos!AA19-(Datos!U19+Datos!AI19))/(Datos!U19+Datos!AI19))
     ),IF(J_V="SI",(Datos!K19-Datos!U19)/Datos!U19,(Datos!K19+Datos!AA19-(Datos!U19+Datos!AI19))/(Datos!U19+Datos!AI19))," - ")</f>
        <v>0.13759286775631502</v>
      </c>
      <c r="E19" s="805">
        <f>IF(ISNUMBER(
   IF(J_V="SI",(Datos!L19-Datos!V19)/Datos!V19,(Datos!L19+Datos!AB19-(Datos!V19+Datos!AJ19))/(Datos!V19+Datos!AJ19))
     ),IF(J_V="SI",(Datos!L19-Datos!V19)/Datos!V19,(Datos!L19+Datos!AB19-(Datos!V19+Datos!AJ19))/(Datos!V19+Datos!AJ19))," - ")</f>
        <v>0.31756389342033714</v>
      </c>
      <c r="F19" s="806">
        <f>IF(ISNUMBER((Datos!M19-Datos!W19)/Datos!W19),(Datos!M19-Datos!W19)/Datos!W19," - ")</f>
        <v>7.1167883211678828E-2</v>
      </c>
      <c r="G19" s="807">
        <f>IF(ISNUMBER((Datos!N19-Datos!X19)/Datos!X19),(Datos!N19-Datos!X19)/Datos!X19," - ")</f>
        <v>6.6700100300902704E-2</v>
      </c>
      <c r="H19" s="808">
        <f>IF(ISNUMBER((Tasas!B19-Datos!BD19)/Datos!BD19),(Tasas!B19-Datos!BD19)/Datos!BD19," - ")</f>
        <v>-3.6170182629522499E-2</v>
      </c>
      <c r="I19" s="809">
        <f>IF(ISNUMBER((Tasas!C19-Datos!BE19)/Datos!BE19),(Tasas!C19-Datos!BE19)/Datos!BE19," - ")</f>
        <v>0.1582033702610853</v>
      </c>
      <c r="J19" s="810">
        <f>IF(ISNUMBER((Tasas!D19-Datos!BF19)/Datos!BF19),(Tasas!D19-Datos!BF19)/Datos!BF19," - ")</f>
        <v>-0.25755132571059136</v>
      </c>
      <c r="K19" s="810">
        <f>IF(ISNUMBER((Tasas!E19-Datos!BG19)/Datos!BG19),(Tasas!E19-Datos!BG19)/Datos!BG19," - ")</f>
        <v>7.9835785660112152E-2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AdA2kdua/FY8IqkmWyozluWFRVERNEuqVTJOLqaCBea2d1qQ4dUIB6avZn06x6PTvuoxcVzshMzlpd0B168CHg==" saltValue="/BmgaqcxcwOGcDZT6EHd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ISLAS BALEARES</v>
      </c>
    </row>
    <row r="3" spans="1:7" ht="19.5">
      <c r="A3" s="439" t="s">
        <v>12</v>
      </c>
      <c r="B3" s="394" t="str">
        <f>Criterios!A10 &amp;"  "&amp;Criterios!B10</f>
        <v>Provincias  ILLES BALEARS</v>
      </c>
    </row>
    <row r="4" spans="1:7" ht="11.25" customHeight="1" thickBot="1">
      <c r="B4" s="394" t="str">
        <f>Criterios!A11 &amp;"  "&amp;Criterios!B11</f>
        <v>Resumenes por Partidos Judiciales  MANACOR</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0.83938706015891029</v>
      </c>
      <c r="C9" s="446">
        <f>IF(ISNUMBER(NºAsuntos!I9/NºAsuntos!G9),NºAsuntos!I9/NºAsuntos!G9," - ")</f>
        <v>3.2860040567951319</v>
      </c>
      <c r="D9" s="447">
        <f>IF(ISNUMBER('Resol  Asuntos'!D9/NºAsuntos!G9),'Resol  Asuntos'!D9/NºAsuntos!G9," - ")</f>
        <v>0.26774847870182555</v>
      </c>
      <c r="E9" s="448">
        <f>IF(ISNUMBER((NºAsuntos!C9+NºAsuntos!E9)/NºAsuntos!G9),(NºAsuntos!C9+NºAsuntos!E9)/NºAsuntos!G9," - ")</f>
        <v>4.2860040567951314</v>
      </c>
      <c r="G9" s="466"/>
    </row>
    <row r="10" spans="1:7">
      <c r="A10" s="405" t="str">
        <f>Datos!A10</f>
        <v>Jdos. Violencia contra la mujer</v>
      </c>
      <c r="B10" s="445">
        <f>IF(ISNUMBER(NºAsuntos!G10/NºAsuntos!E10),NºAsuntos!G10/NºAsuntos!E10," - ")</f>
        <v>0.47222222222222221</v>
      </c>
      <c r="C10" s="446">
        <f>IF(ISNUMBER(NºAsuntos!I10/NºAsuntos!G10),NºAsuntos!I10/NºAsuntos!G10," - ")</f>
        <v>9.8235294117647065</v>
      </c>
      <c r="D10" s="447">
        <f>IF(ISNUMBER('Resol  Asuntos'!D10/NºAsuntos!G10),'Resol  Asuntos'!D10/NºAsuntos!G10," - ")</f>
        <v>0.47058823529411764</v>
      </c>
      <c r="E10" s="448">
        <f>IF(ISNUMBER((NºAsuntos!C10+NºAsuntos!E10)/NºAsuntos!G10),(NºAsuntos!C10+NºAsuntos!E10)/NºAsuntos!G10," - ")</f>
        <v>13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0.83203559510567293</v>
      </c>
      <c r="C13" s="862">
        <f>IF(ISNUMBER(NºAsuntos!I13/NºAsuntos!G13),NºAsuntos!I13/NºAsuntos!G13," - ")</f>
        <v>3.3602941176470589</v>
      </c>
      <c r="D13" s="863">
        <f>IF(ISNUMBER('Resol  Asuntos'!D13/NºAsuntos!G13),'Resol  Asuntos'!D13/NºAsuntos!G13," - ")</f>
        <v>0.2700534759358289</v>
      </c>
      <c r="E13" s="864">
        <f>IF(ISNUMBER((NºAsuntos!C13+NºAsuntos!E13)/NºAsuntos!G13),(NºAsuntos!C13+NºAsuntos!E13)/NºAsuntos!G13," - ")</f>
        <v>4.3850267379679142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0.87320885801128967</v>
      </c>
      <c r="C15" s="446">
        <f>IF(ISNUMBER(NºAsuntos!I15/NºAsuntos!G15),NºAsuntos!I15/NºAsuntos!G15," - ")</f>
        <v>1.0323222277473894</v>
      </c>
      <c r="D15" s="447">
        <f>IF(ISNUMBER('Resol  Asuntos'!D15/NºAsuntos!G15),'Resol  Asuntos'!D15/NºAsuntos!G15," - ")</f>
        <v>6.9119840875186481E-2</v>
      </c>
      <c r="E15" s="448">
        <f>IF(ISNUMBER((NºAsuntos!C15+NºAsuntos!E15)/NºAsuntos!G15),(NºAsuntos!C15+NºAsuntos!E15)/NºAsuntos!G15," - ")</f>
        <v>2.0208851317752363</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1.0524590163934426</v>
      </c>
      <c r="C17" s="446">
        <f>IF(ISNUMBER(NºAsuntos!I17/NºAsuntos!G17),NºAsuntos!I17/NºAsuntos!G17," - ")</f>
        <v>0.51713395638629278</v>
      </c>
      <c r="D17" s="447">
        <f>IF(ISNUMBER('Resol  Asuntos'!D17/NºAsuntos!G17),'Resol  Asuntos'!D17/NºAsuntos!G17," - ")</f>
        <v>0.13707165109034267</v>
      </c>
      <c r="E17" s="448">
        <f>IF(ISNUMBER((NºAsuntos!C17+NºAsuntos!E17)/NºAsuntos!G17),(NºAsuntos!C17+NºAsuntos!E17)/NºAsuntos!G17," - ")</f>
        <v>1.5171339563862929</v>
      </c>
      <c r="G17" s="466"/>
    </row>
    <row r="18" spans="1:7" ht="14.25" thickTop="1" thickBot="1">
      <c r="A18" s="851" t="str">
        <f>Datos!A18</f>
        <v>TOTAL</v>
      </c>
      <c r="B18" s="861">
        <f>IF(ISNUMBER(NºAsuntos!G18/NºAsuntos!E18),NºAsuntos!G18/NºAsuntos!E18," - ")</f>
        <v>0.89417177914110424</v>
      </c>
      <c r="C18" s="862">
        <f>IF(ISNUMBER(NºAsuntos!I18/NºAsuntos!G18),NºAsuntos!I18/NºAsuntos!G18," - ")</f>
        <v>0.96140651801029164</v>
      </c>
      <c r="D18" s="865">
        <f>IF(ISNUMBER('Resol  Asuntos'!D18/NºAsuntos!G18),'Resol  Asuntos'!D18/NºAsuntos!G18," - ")</f>
        <v>7.847341337907375E-2</v>
      </c>
      <c r="E18" s="864">
        <f>IF(ISNUMBER((NºAsuntos!C18+NºAsuntos!E18)/NºAsuntos!G18),(NºAsuntos!C18+NºAsuntos!E18)/NºAsuntos!G18," - ")</f>
        <v>1.9515437392795882</v>
      </c>
      <c r="G18" s="466"/>
    </row>
    <row r="19" spans="1:7" ht="15.75" customHeight="1" thickTop="1" thickBot="1">
      <c r="A19" s="796" t="str">
        <f>Datos!A19</f>
        <v>TOTAL JURISDICCIONES</v>
      </c>
      <c r="B19" s="811">
        <f>IF(ISNUMBER(NºAsuntos!G19/NºAsuntos!E19),NºAsuntos!G19/NºAsuntos!E19," - ")</f>
        <v>0.86881525192918752</v>
      </c>
      <c r="C19" s="812">
        <f>IF(ISNUMBER(NºAsuntos!I19/NºAsuntos!G19),NºAsuntos!I19/NºAsuntos!G19," - ")</f>
        <v>1.8989028213166144</v>
      </c>
      <c r="D19" s="813">
        <f>IF(ISNUMBER('Resol  Asuntos'!D19/NºAsuntos!G19),'Resol  Asuntos'!D19/NºAsuntos!G19," - ")</f>
        <v>0.15334378265412749</v>
      </c>
      <c r="E19" s="814">
        <f>IF(ISNUMBER((NºAsuntos!C19+NºAsuntos!E19)/NºAsuntos!G19),(NºAsuntos!C19+NºAsuntos!E19)/NºAsuntos!G19," - ")</f>
        <v>2.9025600835945662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Slebwl/xMN0EYe541rifFzZyHwH6ArxbIJmLwMkR6w04TY6wXoWDwrCZfDNj92NcRGmWDbbK3Jz8w9JoQqkppg==" saltValue="2y/JSgXq0yPbZ7GgaBF6l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ISLAS BALEARES</v>
      </c>
      <c r="G2" s="266"/>
      <c r="H2" s="265"/>
      <c r="I2" s="265"/>
      <c r="J2" s="265"/>
      <c r="K2" s="265"/>
      <c r="L2" s="265" t="str">
        <f>Criterios!A10 &amp;"  "&amp;Criterios!B10</f>
        <v>Provincias  ILLES BALEARS</v>
      </c>
      <c r="N2" s="265" t="str">
        <f>Criterios!A11 &amp;"  "&amp;Criterios!B11</f>
        <v>Resumenes por Partidos Judiciales  MANACOR</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249</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350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147</v>
      </c>
      <c r="Y9" s="337">
        <f>SUM(W9:X9)</f>
        <v>147</v>
      </c>
      <c r="Z9" s="338" t="str">
        <f>IF(ISNUMBER(Datos!CC9),Datos!CC9," - ")</f>
        <v xml:space="preserve"> - </v>
      </c>
      <c r="AA9" s="335" t="str">
        <f>IF(ISNUMBER(IF(J_V="SI",Datos!L9,Datos!L9+Datos!AB9)-IF(Monitorios="SI",Datos!CD9,0)),
                          IF(J_V="SI",Datos!L9,Datos!L9+Datos!AB9)-IF(Monitorios="SI",Datos!CD9,0),
                          " - ")</f>
        <v xml:space="preserve"> - </v>
      </c>
      <c r="AB9" s="337">
        <f>IF(ISNUMBER(Datos!R9),Datos!R9," - ")</f>
        <v>6597</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396</v>
      </c>
      <c r="AJ9" s="232" t="str">
        <f>IF(ISNUMBER(Datos!BW9),Datos!BW9," - ")</f>
        <v xml:space="preserve"> - </v>
      </c>
      <c r="AK9" s="231" t="str">
        <f>IF(ISNUMBER(Datos!BX9),Datos!BX9," - ")</f>
        <v xml:space="preserve"> - </v>
      </c>
      <c r="AL9" s="246">
        <f>IF(ISNUMBER(NºAsuntos!G9/NºAsuntos!E9),NºAsuntos!G9/NºAsuntos!E9," - ")</f>
        <v>0.83938706015891029</v>
      </c>
      <c r="AM9" s="263">
        <f>IF(ISNUMBER(((NºAsuntos!I9/NºAsuntos!G9)*11)/factor_trimestre),((NºAsuntos!I9/NºAsuntos!G9)*11)/factor_trimestre," - ")</f>
        <v>9.8580121703853969</v>
      </c>
      <c r="AN9" s="247">
        <f>IF(ISNUMBER('Resol  Asuntos'!D9/NºAsuntos!G9),'Resol  Asuntos'!D9/NºAsuntos!G9," - ")</f>
        <v>0.26774847870182555</v>
      </c>
      <c r="AO9" s="248">
        <f>IF(ISNUMBER((NºAsuntos!C9+NºAsuntos!E9)/NºAsuntos!G9),(NºAsuntos!C9+NºAsuntos!E9)/NºAsuntos!G9," - ")</f>
        <v>4.2860040567951314</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148</v>
      </c>
      <c r="G10" s="336">
        <f>IF(ISNUMBER(Datos!I10),Datos!I10," - ")</f>
        <v>185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5</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17</v>
      </c>
      <c r="X10" s="229">
        <f>IF(ISNUMBER(Datos!Q10),Datos!Q10," - ")</f>
        <v>19</v>
      </c>
      <c r="Y10" s="337">
        <f t="shared" ref="Y10:Y12" si="0">SUM(W10:X10)</f>
        <v>36</v>
      </c>
      <c r="Z10" s="338" t="str">
        <f>IF(ISNUMBER(Datos!CC10),Datos!CC10," - ")</f>
        <v xml:space="preserve"> - </v>
      </c>
      <c r="AA10" s="335">
        <f>IF(ISNUMBER(Datos!L10),Datos!L10,"-")</f>
        <v>167</v>
      </c>
      <c r="AB10" s="337">
        <f>IF(ISNUMBER(Datos!R10),Datos!R10," - ")</f>
        <v>64</v>
      </c>
      <c r="AC10" s="337">
        <f t="shared" ref="AC10:AC12" si="1">IF(ISNUMBER(AA10+AB10),AA10+AB10," - ")</f>
        <v>231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8</v>
      </c>
      <c r="AJ10" s="234" t="str">
        <f>IF(ISNUMBER(Datos!BW10),Datos!BW10," - ")</f>
        <v xml:space="preserve"> - </v>
      </c>
      <c r="AK10" s="235" t="str">
        <f>IF(ISNUMBER(Datos!BX10),Datos!BX10," - ")</f>
        <v xml:space="preserve"> - </v>
      </c>
      <c r="AL10" s="246">
        <f>IF(ISNUMBER(NºAsuntos!G10/NºAsuntos!E10),NºAsuntos!G10/NºAsuntos!E10," - ")</f>
        <v>0.47222222222222221</v>
      </c>
      <c r="AM10" s="263">
        <f>IF(ISNUMBER(((NºAsuntos!I10/NºAsuntos!G10)*11)/factor_trimestre),((NºAsuntos!I10/NºAsuntos!G10)*11)/factor_trimestre," - ")</f>
        <v>29.47058823529412</v>
      </c>
      <c r="AN10" s="247">
        <f>IF(ISNUMBER('Resol  Asuntos'!D10/NºAsuntos!G10),'Resol  Asuntos'!D10/NºAsuntos!G10," - ")</f>
        <v>0.47058823529411764</v>
      </c>
      <c r="AO10" s="248">
        <f>IF(ISNUMBER((NºAsuntos!C10+NºAsuntos!E10)/NºAsuntos!G10),(NºAsuntos!C10+NºAsuntos!E10)/NºAsuntos!G10," - ")</f>
        <v>13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148</v>
      </c>
      <c r="G13" s="869">
        <f t="shared" si="3"/>
        <v>185</v>
      </c>
      <c r="H13" s="868">
        <f t="shared" si="3"/>
        <v>0</v>
      </c>
      <c r="I13" s="870">
        <f t="shared" si="3"/>
        <v>0</v>
      </c>
      <c r="J13" s="870">
        <f t="shared" si="3"/>
        <v>0</v>
      </c>
      <c r="K13" s="870">
        <f t="shared" si="3"/>
        <v>0</v>
      </c>
      <c r="L13" s="870">
        <f t="shared" si="3"/>
        <v>355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17</v>
      </c>
      <c r="X13" s="870">
        <f t="shared" si="4"/>
        <v>166</v>
      </c>
      <c r="Y13" s="871">
        <f t="shared" si="4"/>
        <v>183</v>
      </c>
      <c r="Z13" s="871">
        <f t="shared" si="4"/>
        <v>0</v>
      </c>
      <c r="AA13" s="871">
        <f t="shared" si="4"/>
        <v>167</v>
      </c>
      <c r="AB13" s="871">
        <f t="shared" si="4"/>
        <v>6661</v>
      </c>
      <c r="AC13" s="871">
        <f t="shared" si="4"/>
        <v>231</v>
      </c>
      <c r="AD13" s="871">
        <f t="shared" si="4"/>
        <v>0</v>
      </c>
      <c r="AE13" s="875">
        <f t="shared" si="4"/>
        <v>0</v>
      </c>
      <c r="AF13" s="868">
        <f t="shared" si="4"/>
        <v>0</v>
      </c>
      <c r="AG13" s="876">
        <f t="shared" si="4"/>
        <v>0</v>
      </c>
      <c r="AH13" s="873">
        <f t="shared" si="4"/>
        <v>0</v>
      </c>
      <c r="AI13" s="868">
        <f t="shared" si="4"/>
        <v>404</v>
      </c>
      <c r="AJ13" s="870">
        <f t="shared" si="4"/>
        <v>0</v>
      </c>
      <c r="AK13" s="873">
        <f>SUBTOTAL(9,AK9:AK12)</f>
        <v>0</v>
      </c>
      <c r="AL13" s="877">
        <f>IF(ISNUMBER(NºAsuntos!G13/NºAsuntos!E13),NºAsuntos!G13/NºAsuntos!E13," - ")</f>
        <v>0.83203559510567293</v>
      </c>
      <c r="AM13" s="877">
        <f>IF(ISNUMBER(((NºAsuntos!I13/NºAsuntos!G13)*11)/factor_trimestre),((NºAsuntos!I13/NºAsuntos!G13)*11)/factor_trimestre," - ")</f>
        <v>10.080882352941176</v>
      </c>
      <c r="AN13" s="878">
        <f>IF(ISNUMBER('Resol  Asuntos'!D13/NºAsuntos!G13),'Resol  Asuntos'!D13/NºAsuntos!G13," - ")</f>
        <v>0.2700534759358289</v>
      </c>
      <c r="AO13" s="879">
        <f>IF(ISNUMBER((NºAsuntos!C13+NºAsuntos!E13)/NºAsuntos!G13),(NºAsuntos!C13+NºAsuntos!E13)/NºAsuntos!G13," - ")</f>
        <v>4.3850267379679142</v>
      </c>
      <c r="AP13" s="880" t="str">
        <f t="shared" si="2"/>
        <v xml:space="preserve"> - </v>
      </c>
      <c r="AQ13" s="880">
        <f>IF(ISNUMBER((H13-W13+K13)/(F13)),(H13-W13+K13)/(F13)," - ")</f>
        <v>-0.11486486486486487</v>
      </c>
      <c r="AR13" s="881">
        <f>IF(ISNUMBER((Datos!P13-Datos!Q13)/(Datos!R13-Datos!P13+Datos!Q13)),(Datos!P13-Datos!Q13)/(Datos!R13-Datos!P13+Datos!Q13)," - ")</f>
        <v>2.9202719406674908E-2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3</v>
      </c>
      <c r="B15" s="278" t="s">
        <v>400</v>
      </c>
      <c r="C15" s="163" t="str">
        <f>Datos!A15</f>
        <v xml:space="preserve">Jdos. Instrucción                               </v>
      </c>
      <c r="D15" s="163"/>
      <c r="E15" s="1028">
        <f>IF(ISNUMBER(Datos!AQ15),Datos!AQ15," - ")</f>
        <v>3</v>
      </c>
      <c r="F15" s="228">
        <f>IF(ISNUMBER(AA15+W15-Datos!J15-K15),AA15+W15-Datos!J15-K15," - ")</f>
        <v>1784</v>
      </c>
      <c r="G15" s="336">
        <f>IF(ISNUMBER(IF(D_I="SI",Datos!I15,Datos!I15+Datos!AC15)),IF(D_I="SI",Datos!I15,Datos!I15+Datos!AC15)," - ")</f>
        <v>1761</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17</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2011</v>
      </c>
      <c r="X15" s="229">
        <f>IF(ISNUMBER(Datos!Q15),Datos!Q15," - ")</f>
        <v>15</v>
      </c>
      <c r="Y15" s="337">
        <f>SUM(W15)</f>
        <v>2011</v>
      </c>
      <c r="Z15" s="338" t="str">
        <f>IF(ISNUMBER(Datos!CC15),Datos!CC15," - ")</f>
        <v xml:space="preserve"> - </v>
      </c>
      <c r="AA15" s="335">
        <f>IF(ISNUMBER(IF(D_I="SI",Datos!L15,Datos!L15+Datos!AF15)),IF(D_I="SI",Datos!L15,Datos!L15+Datos!AF15)," - ")</f>
        <v>2076</v>
      </c>
      <c r="AB15" s="337">
        <f>IF(ISNUMBER(Datos!R15),Datos!R15," - ")</f>
        <v>169</v>
      </c>
      <c r="AC15" s="337">
        <f t="shared" ref="AC15:AC17" si="6">IF(ISNUMBER(AA15+AB15),AA15+AB15," - ")</f>
        <v>2245</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139</v>
      </c>
      <c r="AJ15" s="234" t="str">
        <f>IF(ISNUMBER(Datos!BW15),Datos!BW15," - ")</f>
        <v xml:space="preserve"> - </v>
      </c>
      <c r="AK15" s="235" t="str">
        <f>IF(ISNUMBER(Datos!BX15),Datos!BX15," - ")</f>
        <v xml:space="preserve"> - </v>
      </c>
      <c r="AL15" s="246">
        <f>IF(ISNUMBER(NºAsuntos!G15/NºAsuntos!E15),NºAsuntos!G15/NºAsuntos!E15," - ")</f>
        <v>0.87320885801128967</v>
      </c>
      <c r="AM15" s="263">
        <f>IF(ISNUMBER(((NºAsuntos!I15/NºAsuntos!G15)*11)/factor_trimestre),((NºAsuntos!I15/NºAsuntos!G15)*11)/factor_trimestre," - ")</f>
        <v>3.0969666832421683</v>
      </c>
      <c r="AN15" s="247">
        <f>IF(ISNUMBER('Resol  Asuntos'!D15/NºAsuntos!G15),'Resol  Asuntos'!D15/NºAsuntos!G15," - ")</f>
        <v>6.9119840875186481E-2</v>
      </c>
      <c r="AO15" s="248">
        <f>IF(ISNUMBER((NºAsuntos!C15+NºAsuntos!E15)/NºAsuntos!G15),(NºAsuntos!C15+NºAsuntos!E15)/NºAsuntos!G15," - ")</f>
        <v>2.0208851317752363</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182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321</v>
      </c>
      <c r="X17" s="229">
        <f>IF(ISNUMBER(Datos!Q17),Datos!Q17," - ")</f>
        <v>17</v>
      </c>
      <c r="Y17" s="337">
        <f t="shared" si="7"/>
        <v>338</v>
      </c>
      <c r="Z17" s="338" t="str">
        <f>IF(ISNUMBER(Datos!CC17),Datos!CC17," - ")</f>
        <v xml:space="preserve"> - </v>
      </c>
      <c r="AA17" s="335">
        <f>IF(ISNUMBER(Datos!L17),Datos!L17,"-")</f>
        <v>166</v>
      </c>
      <c r="AB17" s="337">
        <f>IF(ISNUMBER(Datos!R17),Datos!R17," - ")</f>
        <v>31</v>
      </c>
      <c r="AC17" s="337">
        <f t="shared" si="6"/>
        <v>197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44</v>
      </c>
      <c r="AJ17" s="234" t="str">
        <f>IF(ISNUMBER(Datos!BW17),Datos!BW17," - ")</f>
        <v xml:space="preserve"> - </v>
      </c>
      <c r="AK17" s="235" t="str">
        <f>IF(ISNUMBER(Datos!BX17),Datos!BX17," - ")</f>
        <v xml:space="preserve"> - </v>
      </c>
      <c r="AL17" s="246">
        <f>IF(ISNUMBER(NºAsuntos!G17/NºAsuntos!E17),NºAsuntos!G17/NºAsuntos!E17," - ")</f>
        <v>1.0524590163934426</v>
      </c>
      <c r="AM17" s="263">
        <f>IF(ISNUMBER(((NºAsuntos!I17/NºAsuntos!G17)*11)/factor_trimestre),((NºAsuntos!I17/NºAsuntos!G17)*11)/factor_trimestre," - ")</f>
        <v>1.5514018691588785</v>
      </c>
      <c r="AN17" s="247">
        <f>IF(ISNUMBER('Resol  Asuntos'!D17/NºAsuntos!G17),'Resol  Asuntos'!D17/NºAsuntos!G17," - ")</f>
        <v>0.13707165109034267</v>
      </c>
      <c r="AO17" s="248">
        <f>IF(ISNUMBER((NºAsuntos!C17+NºAsuntos!E17)/NºAsuntos!G17),(NºAsuntos!C17+NºAsuntos!E17)/NºAsuntos!G17," - ")</f>
        <v>1.5171339563862929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1784</v>
      </c>
      <c r="G18" s="869">
        <f>SUBTOTAL(9,G15:G17)</f>
        <v>1943</v>
      </c>
      <c r="H18" s="868">
        <f t="shared" ref="H18:O18" si="10">SUBTOTAL(9,H14:H17)</f>
        <v>0</v>
      </c>
      <c r="I18" s="870">
        <f t="shared" si="10"/>
        <v>0</v>
      </c>
      <c r="J18" s="870">
        <f t="shared" si="10"/>
        <v>0</v>
      </c>
      <c r="K18" s="870">
        <f t="shared" si="10"/>
        <v>0</v>
      </c>
      <c r="L18" s="870">
        <f t="shared" si="10"/>
        <v>21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2332</v>
      </c>
      <c r="X18" s="870">
        <f t="shared" si="11"/>
        <v>32</v>
      </c>
      <c r="Y18" s="871">
        <f t="shared" si="11"/>
        <v>2349</v>
      </c>
      <c r="Z18" s="871">
        <f t="shared" si="11"/>
        <v>0</v>
      </c>
      <c r="AA18" s="871">
        <f t="shared" si="11"/>
        <v>2242</v>
      </c>
      <c r="AB18" s="871">
        <f t="shared" si="11"/>
        <v>200</v>
      </c>
      <c r="AC18" s="871">
        <f t="shared" si="11"/>
        <v>2442</v>
      </c>
      <c r="AD18" s="871">
        <f t="shared" si="11"/>
        <v>0</v>
      </c>
      <c r="AE18" s="875">
        <f t="shared" si="11"/>
        <v>0</v>
      </c>
      <c r="AF18" s="868">
        <f t="shared" si="11"/>
        <v>0</v>
      </c>
      <c r="AG18" s="876">
        <f t="shared" si="11"/>
        <v>0</v>
      </c>
      <c r="AH18" s="873">
        <f t="shared" si="11"/>
        <v>0</v>
      </c>
      <c r="AI18" s="868">
        <f t="shared" si="11"/>
        <v>183</v>
      </c>
      <c r="AJ18" s="870">
        <f t="shared" si="11"/>
        <v>0</v>
      </c>
      <c r="AK18" s="873">
        <f t="shared" si="11"/>
        <v>0</v>
      </c>
      <c r="AL18" s="877">
        <f>IF(ISNUMBER(NºAsuntos!G18/NºAsuntos!E18),NºAsuntos!G18/NºAsuntos!E18," - ")</f>
        <v>0.89417177914110424</v>
      </c>
      <c r="AM18" s="877">
        <f>IF(ISNUMBER(((NºAsuntos!I18/NºAsuntos!G18)*11)/factor_trimestre),((NºAsuntos!I18/NºAsuntos!G18)*11)/factor_trimestre," - ")</f>
        <v>2.8842195540308753</v>
      </c>
      <c r="AN18" s="878">
        <f>IF(ISNUMBER('Resol  Asuntos'!D18/NºAsuntos!G18),'Resol  Asuntos'!D18/NºAsuntos!G18," - ")</f>
        <v>7.847341337907375E-2</v>
      </c>
      <c r="AO18" s="879">
        <f>IF(ISNUMBER((NºAsuntos!C18+NºAsuntos!E18)/NºAsuntos!G18),(NºAsuntos!C18+NºAsuntos!E18)/NºAsuntos!G18," - ")</f>
        <v>1.9515437392795882</v>
      </c>
      <c r="AP18" s="880" t="str">
        <f t="shared" si="2"/>
        <v xml:space="preserve"> - </v>
      </c>
      <c r="AQ18" s="880">
        <f>IF(ISNUMBER((H18-W18+K18)/(F18)),(H18-W18+K18)/(F18)," - ")</f>
        <v>-1.3071748878923768</v>
      </c>
      <c r="AR18" s="881">
        <f>IF(ISNUMBER((Datos!P18-Datos!Q18)/(Datos!R18-Datos!P18+Datos!Q18)),(Datos!P18-Datos!Q18)/(Datos!R18-Datos!P18+Datos!Q18)," - ")</f>
        <v>-5.2132701421800945E-2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1932</v>
      </c>
      <c r="G19" s="824">
        <f t="shared" si="13"/>
        <v>2128</v>
      </c>
      <c r="H19" s="823">
        <f t="shared" si="13"/>
        <v>0</v>
      </c>
      <c r="I19" s="825">
        <f t="shared" si="13"/>
        <v>0</v>
      </c>
      <c r="J19" s="825">
        <f t="shared" si="13"/>
        <v>0</v>
      </c>
      <c r="K19" s="884">
        <f t="shared" si="13"/>
        <v>0</v>
      </c>
      <c r="L19" s="825">
        <f t="shared" si="13"/>
        <v>376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2349</v>
      </c>
      <c r="X19" s="824">
        <f t="shared" si="14"/>
        <v>198</v>
      </c>
      <c r="Y19" s="831">
        <f t="shared" si="14"/>
        <v>2532</v>
      </c>
      <c r="Z19" s="831">
        <f t="shared" si="14"/>
        <v>0</v>
      </c>
      <c r="AA19" s="831">
        <f t="shared" si="14"/>
        <v>2409</v>
      </c>
      <c r="AB19" s="831">
        <f t="shared" si="14"/>
        <v>6861</v>
      </c>
      <c r="AC19" s="831">
        <f t="shared" si="14"/>
        <v>2673</v>
      </c>
      <c r="AD19" s="831">
        <f t="shared" si="14"/>
        <v>0</v>
      </c>
      <c r="AE19" s="833">
        <f t="shared" si="14"/>
        <v>0</v>
      </c>
      <c r="AF19" s="834">
        <f t="shared" si="14"/>
        <v>0</v>
      </c>
      <c r="AG19" s="835">
        <f t="shared" si="14"/>
        <v>0</v>
      </c>
      <c r="AH19" s="833">
        <f t="shared" si="14"/>
        <v>0</v>
      </c>
      <c r="AI19" s="823">
        <f t="shared" si="14"/>
        <v>587</v>
      </c>
      <c r="AJ19" s="823">
        <f t="shared" si="14"/>
        <v>0</v>
      </c>
      <c r="AK19" s="833">
        <f t="shared" si="14"/>
        <v>0</v>
      </c>
      <c r="AL19" s="887">
        <f>IF(ISNUMBER(NºAsuntos!G19/NºAsuntos!E19),NºAsuntos!G19/NºAsuntos!E19," - ")</f>
        <v>0.86881525192918752</v>
      </c>
      <c r="AM19" s="888">
        <f>IF(ISNUMBER(((NºAsuntos!I19/NºAsuntos!G19)*11)/factor_trimestre),((NºAsuntos!I19/NºAsuntos!G19)*11)/factor_trimestre," - ")</f>
        <v>5.6967084639498431</v>
      </c>
      <c r="AN19" s="888">
        <f>IF(ISNUMBER('Resol  Asuntos'!D19/NºAsuntos!G19),'Resol  Asuntos'!D19/NºAsuntos!G19," - ")</f>
        <v>0.15334378265412749</v>
      </c>
      <c r="AO19" s="889">
        <f>IF(ISNUMBER((NºAsuntos!C19+NºAsuntos!E19)/NºAsuntos!G19),(NºAsuntos!C19+NºAsuntos!E19)/NºAsuntos!G19," - ")</f>
        <v>2.9025600835945662</v>
      </c>
      <c r="AP19" s="890" t="str">
        <f t="shared" si="2"/>
        <v xml:space="preserve"> - </v>
      </c>
      <c r="AQ19" s="891">
        <f>IF(OR(ISNUMBER(FIND("01",Criterios!A8,1)),ISNUMBER(FIND("02",Criterios!A8,1)),ISNUMBER(FIND("03",Criterios!A8,1)),ISNUMBER(FIND("04",Criterios!A8,1))),(I19-W19+K19)/(F19-K19),(H19-W19+K19)/(F19-K19))</f>
        <v>-1.2158385093167703</v>
      </c>
      <c r="AR19" s="892">
        <f>IF(ISNUMBER((Datos!P19-Datos!Q19)/(Datos!R19-Datos!P19+Datos!Q19)),(Datos!P19-Datos!Q19)/(Datos!R19-Datos!P19+Datos!Q19)," - ")</f>
        <v>2.6634744875056113E-2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851.2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2.2236106773543889</v>
      </c>
      <c r="F21" s="255">
        <f>IF(ISNUMBER(STDEV(F8:F18)),STDEV(F8:F18),"-")</f>
        <v>944.54504039422773</v>
      </c>
      <c r="G21" s="256">
        <f>IF(ISNUMBER(STDEV(G8:G18)),STDEV(G8:G18),"-")</f>
        <v>915.86527393498216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1137.0711499286226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170.36979387986202</v>
      </c>
      <c r="AJ21" s="255">
        <f t="shared" si="18"/>
        <v>0</v>
      </c>
      <c r="AK21" s="257">
        <f t="shared" si="18"/>
        <v>0</v>
      </c>
      <c r="AL21" s="252">
        <f t="shared" si="18"/>
        <v>0.19158537278288024</v>
      </c>
      <c r="AM21" s="253">
        <f t="shared" si="18"/>
        <v>10.461711437415142</v>
      </c>
      <c r="AN21" s="253">
        <f t="shared" si="18"/>
        <v>0.15305582960604364</v>
      </c>
      <c r="AO21" s="254">
        <f t="shared" si="18"/>
        <v>4.3322706380429059</v>
      </c>
      <c r="AP21" s="294" t="str">
        <f t="shared" si="18"/>
        <v>-</v>
      </c>
      <c r="AQ21" s="295">
        <f t="shared" si="18"/>
        <v>0.84309050255944229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LcrjwvjgbcMKdMWh2LYUX4x9o6L9gV9UM/8aBgPxXCki3ckK7HBQ2EMcV9eTpDld/VTwHR7z30n1RMTzAAML8g==" saltValue="8b6Pab5vHOO6zOeC+iqMk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ISLAS BALEARES</v>
      </c>
      <c r="E2" s="266"/>
    </row>
    <row r="3" spans="2:20" ht="17.25" customHeight="1">
      <c r="C3" s="270"/>
      <c r="D3" s="265" t="str">
        <f>Criterios!A10 &amp;"  "&amp;Criterios!B10</f>
        <v>Provincias  ILLES BALEARS</v>
      </c>
      <c r="E3" s="266"/>
    </row>
    <row r="4" spans="2:20" ht="17.25" customHeight="1" thickBot="1">
      <c r="D4" s="265" t="str">
        <f>Criterios!A11 &amp;"  "&amp;Criterios!B11</f>
        <v>Resumenes por Partidos Judiciales  MANACOR</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0.17857142857142858</v>
      </c>
      <c r="I9" s="353">
        <f>IF(ISNUMBER((Tasas!C9-Datos!BE9)/Datos!BE9),(Tasas!C9-Datos!BE9)/Datos!BE9," - ")</f>
        <v>5.978110582694203E-2</v>
      </c>
      <c r="J9" s="352">
        <f>IF(ISNUMBER((Tasas!D9-Datos!BF9)/Datos!BF9),(Tasas!D9-Datos!BF9)/Datos!BF9," - ")</f>
        <v>-0.31150391190959142</v>
      </c>
      <c r="K9" s="354">
        <f>IF(ISNUMBER((Tasas!E9-Datos!BG9)/Datos!BG9),(Tasas!E9-Datos!BG9)/Datos!BG9," - ")</f>
        <v>9.1406708131854982E-3</v>
      </c>
      <c r="M9" t="e">
        <f>IF(Monitorios="SI",Datos!CE9,0)</f>
        <v>#REF!</v>
      </c>
      <c r="N9" t="e">
        <f>IF(Monitorios="SI",Datos!CF9,0)</f>
        <v>#REF!</v>
      </c>
      <c r="O9" t="e">
        <f>IF(Monitorios="SI",Datos!CG9,0)</f>
        <v>#REF!</v>
      </c>
      <c r="P9" t="e">
        <f>IF(Monitorios="SI",Datos!CH9,0)</f>
        <v>#REF!</v>
      </c>
      <c r="Q9">
        <f>IF(J_V="SI",0,Datos!AG9)</f>
        <v>119</v>
      </c>
      <c r="R9">
        <f>IF(J_V="SI",0,Datos!AH9)</f>
        <v>91</v>
      </c>
      <c r="S9">
        <f>IF(J_V="SI",0,Datos!AI9)</f>
        <v>88</v>
      </c>
      <c r="T9">
        <f>IF(J_V="SI",0,Datos!AJ9)</f>
        <v>122</v>
      </c>
    </row>
    <row r="10" spans="2:20" ht="14.25">
      <c r="B10" s="278" t="s">
        <v>249</v>
      </c>
      <c r="C10" s="7" t="str">
        <f>Datos!A10</f>
        <v>Jdos. Violencia contra la mujer</v>
      </c>
      <c r="D10" s="355">
        <f>IF(ISNUMBER((Datos!I10-Datos!S10)/Datos!S10),(Datos!I10-Datos!S10)/Datos!S10," - ")</f>
        <v>0.50406504065040647</v>
      </c>
      <c r="E10" s="351">
        <f>IF(ISNUMBER((Datos!J10-Datos!T10)/Datos!T10),(Datos!J10-Datos!T10)/Datos!T10," - ")</f>
        <v>5.8823529411764705E-2</v>
      </c>
      <c r="F10" s="351">
        <f>IF(ISNUMBER((Datos!K10-Datos!U10)/Datos!U10),(Datos!K10-Datos!U10)/Datos!U10," - ")</f>
        <v>0.21428571428571427</v>
      </c>
      <c r="G10" s="352">
        <f>IF(ISNUMBER((Datos!L10-Datos!V10)/Datos!V10),(Datos!L10-Datos!V10)/Datos!V10," - ")</f>
        <v>0.16783216783216784</v>
      </c>
      <c r="H10" s="233">
        <f>IF(ISNUMBER((Datos!M10-Datos!W10)/Datos!W10),(Datos!M10-Datos!W10)/Datos!W10," - ")</f>
        <v>0.14285714285714285</v>
      </c>
      <c r="I10" s="353">
        <f>IF(ISNUMBER((Tasas!C10-Datos!BE10)/Datos!BE10),(Tasas!C10-Datos!BE10)/Datos!BE10," - ")</f>
        <v>-3.8255861785273418E-2</v>
      </c>
      <c r="J10" s="352">
        <f>IF(ISNUMBER((Tasas!D10-Datos!BF10)/Datos!BF10),(Tasas!D10-Datos!BF10)/Datos!BF10," - ")</f>
        <v>-5.8823529411764719E-2</v>
      </c>
      <c r="K10" s="354">
        <f>IF(ISNUMBER((Tasas!E10-Datos!BG10)/Datos!BG10),(Tasas!E10-Datos!BG10)/Datos!BG10," - ")</f>
        <v>0.15923566878980899</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0.17784256559766765</v>
      </c>
      <c r="I13" s="360">
        <f>IF(ISNUMBER((Tasas!C13-Datos!BE13)/Datos!BE13),(Tasas!C13-Datos!BE13)/Datos!BE13," - ")</f>
        <v>5.6717429084803761E-2</v>
      </c>
      <c r="J13" s="358">
        <f>IF(ISNUMBER((Tasas!D13-Datos!BF13)/Datos!BF13),(Tasas!D13-Datos!BF13)/Datos!BF13," - ")</f>
        <v>-0.30778129433591617</v>
      </c>
      <c r="K13" s="361">
        <f>IF(ISNUMBER((Tasas!E13-Datos!BG13)/Datos!BG13),(Tasas!E13-Datos!BG13)/Datos!BG13," - ")</f>
        <v>1.3916344419679788E-2</v>
      </c>
      <c r="M13" t="e">
        <f>IF(Monitorios="SI",Datos!CE13,0)</f>
        <v>#REF!</v>
      </c>
      <c r="N13" t="e">
        <f>IF(Monitorios="SI",Datos!CF13,0)</f>
        <v>#REF!</v>
      </c>
      <c r="O13" t="e">
        <f>IF(Monitorios="SI",Datos!CG13,0)</f>
        <v>#REF!</v>
      </c>
      <c r="P13" t="e">
        <f>IF(Monitorios="SI",Datos!CH13,0)</f>
        <v>#REF!</v>
      </c>
      <c r="Q13">
        <f>IF(J_V="SI",0,Datos!AG13)</f>
        <v>119</v>
      </c>
      <c r="R13">
        <f>IF(J_V="SI",0,Datos!AH13)</f>
        <v>91</v>
      </c>
      <c r="S13">
        <f>IF(J_V="SI",0,Datos!AI13)</f>
        <v>88</v>
      </c>
      <c r="T13">
        <f>IF(J_V="SI",0,Datos!AJ13)</f>
        <v>122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0.28916544655929721</v>
      </c>
      <c r="E15" s="351">
        <f>IF(ISNUMBER(
   IF(D_I="SI",(Datos!J15-Datos!T15)/Datos!T15,(Datos!J15+Datos!AD15-(Datos!T15+Datos!AL15))/(Datos!T15+Datos!AL15))
     ),IF(D_I="SI",(Datos!J15-Datos!T15)/Datos!T15,(Datos!J15+Datos!AD15-(Datos!T15+Datos!AL15))/(Datos!T15+Datos!AL15))," - ")</f>
        <v>0.32967667436489606</v>
      </c>
      <c r="F15" s="351">
        <f>IF(ISNUMBER(
   IF(D_I="SI",(Datos!K15-Datos!U15)/Datos!U15,(Datos!K15+Datos!AE15-(Datos!U15+Datos!AM15))/(Datos!U15+Datos!AM15))
     ),IF(D_I="SI",(Datos!K15-Datos!U15)/Datos!U15,(Datos!K15+Datos!AE15-(Datos!U15+Datos!AM15))/(Datos!U15+Datos!AM15))," - ")</f>
        <v>0.10921125206839492</v>
      </c>
      <c r="G15" s="352">
        <f>IF(ISNUMBER(
   IF(D_I="SI",(Datos!L15-Datos!V15)/Datos!V15,(Datos!L15+Datos!AF15-(Datos!V15+Datos!AN15))/(Datos!V15+Datos!AN15))
     ),IF(D_I="SI",(Datos!L15-Datos!V15)/Datos!V15,(Datos!L15+Datos!AF15-(Datos!V15+Datos!AN15))/(Datos!V15+Datos!AN15))," - ")</f>
        <v>0.59815242494226328</v>
      </c>
      <c r="H15" s="233">
        <f>IF(ISNUMBER((Datos!M15-Datos!W15)/Datos!W15),(Datos!M15-Datos!W15)/Datos!W15," - ")</f>
        <v>-0.17261904761904762</v>
      </c>
      <c r="I15" s="353">
        <f>IF(ISNUMBER((Tasas!C15-Datos!BE15)/Datos!BE15),(Tasas!C15-Datos!BE15)/Datos!BE15," - ")</f>
        <v>0.44080076898076737</v>
      </c>
      <c r="J15" s="352">
        <f>IF(ISNUMBER((Tasas!D15-Datos!BF15)/Datos!BF15),(Tasas!D15-Datos!BF15)/Datos!BF15," - ")</f>
        <v>-0.25408171722194584</v>
      </c>
      <c r="K15" s="354">
        <f>IF(ISNUMBER((Tasas!E15-Datos!BG15)/Datos!BG15),(Tasas!E15-Datos!BG15)/Datos!BG15," - ")</f>
        <v>0.18265485600661827</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-0.29457364341085274</v>
      </c>
      <c r="E17" s="351">
        <f>IF(ISNUMBER(
   IF(D_I="SI",(Datos!J17-Datos!T17)/Datos!T17,(Datos!J17+Datos!AD17-(Datos!T17+Datos!AL17))/(Datos!T17+Datos!AL17))
     ),IF(D_I="SI",(Datos!J17-Datos!T17)/Datos!T17,(Datos!J17+Datos!AD17-(Datos!T17+Datos!AL17))/(Datos!T17+Datos!AL17))," - ")</f>
        <v>0.1867704280155642</v>
      </c>
      <c r="F17" s="351">
        <f>IF(ISNUMBER(
   IF(D_I="SI",(Datos!K17-Datos!U17)/Datos!U17,(Datos!K17+Datos!AE17-(Datos!U17+Datos!AM17))/(Datos!U17+Datos!AM17))
     ),IF(D_I="SI",(Datos!K17-Datos!U17)/Datos!U17,(Datos!K17+Datos!AE17-(Datos!U17+Datos!AM17))/(Datos!U17+Datos!AM17))," - ")</f>
        <v>8.4459459459459457E-2</v>
      </c>
      <c r="G17" s="352">
        <f>IF(ISNUMBER(
   IF(D_I="SI",(Datos!L17-Datos!V17)/Datos!V17,(Datos!L17+Datos!AF17-(Datos!V17+Datos!AN17))/(Datos!V17+Datos!AN17))
     ),IF(D_I="SI",(Datos!L17-Datos!V17)/Datos!V17,(Datos!L17+Datos!AF17-(Datos!V17+Datos!AN17))/(Datos!V17+Datos!AN17))," - ")</f>
        <v>-0.25892857142857145</v>
      </c>
      <c r="H17" s="233">
        <f>IF(ISNUMBER((Datos!M17-Datos!W17)/Datos!W17),(Datos!M17-Datos!W17)/Datos!W17," - ")</f>
        <v>0.1891891891891892</v>
      </c>
      <c r="I17" s="353">
        <f>IF(ISNUMBER((Tasas!C17-Datos!BE17)/Datos!BE17),(Tasas!C17-Datos!BE17)/Datos!BE17," - ")</f>
        <v>-0.31664441477525601</v>
      </c>
      <c r="J17" s="352">
        <f>IF(ISNUMBER((Tasas!D17-Datos!BF17)/Datos!BF17),(Tasas!D17-Datos!BF17)/Datos!BF17," - ")</f>
        <v>9.6573208722741333E-2</v>
      </c>
      <c r="K17" s="354">
        <f>IF(ISNUMBER((Tasas!E17-Datos!BG17)/Datos!BG17),(Tasas!E17-Datos!BG17)/Datos!BG17," - ")</f>
        <v>-0.12801621147506276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0.19642857142857142</v>
      </c>
      <c r="E18" s="357">
        <f>IF(ISNUMBER(
   IF(D_I="SI",(Datos!J18-Datos!T18)/Datos!T18,(Datos!J18+Datos!AD18-(Datos!T18+Datos!AL18))/(Datos!T18+Datos!AL18))
     ),IF(D_I="SI",(Datos!J18-Datos!T18)/Datos!T18,(Datos!J18+Datos!AD18-(Datos!T18+Datos!AL18))/(Datos!T18+Datos!AL18))," - ")</f>
        <v>0.31121166415284063</v>
      </c>
      <c r="F18" s="357">
        <f>IF(ISNUMBER(
   IF(D_I="SI",(Datos!K18-Datos!U18)/Datos!U18,(Datos!K18+Datos!AE18-(Datos!U18+Datos!AM18))/(Datos!U18+Datos!AM18))
     ),IF(D_I="SI",(Datos!K18-Datos!U18)/Datos!U18,(Datos!K18+Datos!AE18-(Datos!U18+Datos!AM18))/(Datos!U18+Datos!AM18))," - ")</f>
        <v>0.10573731626363206</v>
      </c>
      <c r="G18" s="358">
        <f>IF(ISNUMBER(
   IF(D_I="SI",(Datos!L18-Datos!V18)/Datos!V18,(Datos!L18+Datos!AF18-(Datos!V18+Datos!AN18))/(Datos!V18+Datos!AN18))
     ),IF(D_I="SI",(Datos!L18-Datos!V18)/Datos!V18,(Datos!L18+Datos!AF18-(Datos!V18+Datos!AN18))/(Datos!V18+Datos!AN18))," - ")</f>
        <v>0.47209455022980956</v>
      </c>
      <c r="H18" s="359">
        <f>IF(ISNUMBER((Datos!M18-Datos!W18)/Datos!W18),(Datos!M18-Datos!W18)/Datos!W18," - ")</f>
        <v>-0.10731707317073171</v>
      </c>
      <c r="I18" s="360">
        <f>IF(ISNUMBER((Tasas!C18-Datos!BE18)/Datos!BE18),(Tasas!C18-Datos!BE18)/Datos!BE18," - ")</f>
        <v>0.33132393071812544</v>
      </c>
      <c r="J18" s="358">
        <f>IF(ISNUMBER((Tasas!D18-Datos!BF18)/Datos!BF18),(Tasas!D18-Datos!BF18)/Datos!BF18," - ")</f>
        <v>-0.19268083504162661</v>
      </c>
      <c r="K18" s="361">
        <f>IF(ISNUMBER((Tasas!E18-Datos!BG18)/Datos!BG18),(Tasas!E18-Datos!BG18)/Datos!BG18," - ")</f>
        <v>0.13916571993928911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0.26223644578313254</v>
      </c>
      <c r="E19" s="366">
        <f>IF(ISNUMBER(
   IF(J_V="SI",(Datos!J19-Datos!T19)/Datos!T19,(Datos!J19+Datos!Z19-(Datos!T19+Datos!AH19))/(Datos!T19+Datos!AH19))
     ),IF(J_V="SI",(Datos!J19-Datos!T19)/Datos!T19,(Datos!J19+Datos!Z19-(Datos!T19+Datos!AH19))/(Datos!T19+Datos!AH19))," - ")</f>
        <v>0.18028395392445754</v>
      </c>
      <c r="F19" s="366">
        <f>IF(ISNUMBER(
   IF(J_V="SI",(Datos!K19-Datos!U19)/Datos!U19,(Datos!K19+Datos!AA19-(Datos!U19+Datos!AI19))/(Datos!U19+Datos!AI19))
     ),IF(J_V="SI",(Datos!K19-Datos!U19)/Datos!U19,(Datos!K19+Datos!AA19-(Datos!U19+Datos!AI19))/(Datos!U19+Datos!AI19))," - ")</f>
        <v>0.13759286775631502</v>
      </c>
      <c r="G19" s="367">
        <f>IF(ISNUMBER(
   IF(J_V="SI",(Datos!L19-Datos!V19)/Datos!V19,(Datos!L19+Datos!AB19-(Datos!V19+Datos!AJ19))/(Datos!V19+Datos!AJ19))
     ),IF(J_V="SI",(Datos!L19-Datos!V19)/Datos!V19,(Datos!L19+Datos!AB19-(Datos!V19+Datos!AJ19))/(Datos!V19+Datos!AJ19))," - ")</f>
        <v>0.31756389342033714</v>
      </c>
      <c r="H19" s="368">
        <f>IF(ISNUMBER((Datos!M19-Datos!W19)/Datos!W19),(Datos!M19-Datos!W19)/Datos!W19," - ")</f>
        <v>7.1167883211678828E-2</v>
      </c>
      <c r="I19" s="365">
        <f>IF(ISNUMBER((Tasas!C19-Datos!BE19)/Datos!BE19),(Tasas!C19-Datos!BE19)/Datos!BE19," - ")</f>
        <v>0.1582033702610853</v>
      </c>
      <c r="J19" s="366">
        <f>IF(ISNUMBER((Tasas!D19-Datos!BF19)/Datos!BF19),(Tasas!D19-Datos!BF19)/Datos!BF19," - ")</f>
        <v>-0.25755132571059136</v>
      </c>
      <c r="K19" s="367">
        <f>IF(ISNUMBER((Tasas!E19-Datos!BG19)/Datos!BG19),(Tasas!E19-Datos!BG19)/Datos!BG19," - ")</f>
        <v>7.9835785660112152E-2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0.33777216292449647</v>
      </c>
      <c r="E21" s="281">
        <f t="shared" si="1"/>
        <v>0.12572469216856763</v>
      </c>
      <c r="F21" s="281">
        <f t="shared" si="1"/>
        <v>5.8277869172283316E-2</v>
      </c>
      <c r="G21" s="282">
        <f t="shared" si="1"/>
        <v>0.38130795473302243</v>
      </c>
      <c r="H21" s="288">
        <f t="shared" si="1"/>
        <v>0.16322707978161388</v>
      </c>
      <c r="I21" s="280">
        <f t="shared" si="1"/>
        <v>0.27023027566161617</v>
      </c>
      <c r="J21" s="281">
        <f t="shared" si="1"/>
        <v>0.16124590194600696</v>
      </c>
      <c r="K21" s="282">
        <f t="shared" si="1"/>
        <v>0.11931171568770406</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oYQMLgpjzoC0O7QRH7FMdyMXn2QSvjRKxmqxnsRGMpUXJz+jX1sFz8hkdMnbp0y1+rbjcmL/crlrTKefPD4U8Q==" saltValue="kYX3gU4gDxU/Amu13Fq8Q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